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4\9 Otpad\CSI 102 OtpadOdElektricnaIElektronskaOprema\"/>
    </mc:Choice>
  </mc:AlternateContent>
  <xr:revisionPtr revIDLastSave="0" documentId="13_ncr:1_{C3C08EDD-1918-4F0A-A5F4-5A78814553CF}" xr6:coauthVersionLast="36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пуш,собр,рец и прераб." sheetId="5" r:id="rId1"/>
    <sheet name="vid i kategorija " sheetId="6" r:id="rId2"/>
    <sheet name="Вк.количини" sheetId="4" r:id="rId3"/>
    <sheet name="oprema pushtena na pazar" sheetId="3" r:id="rId4"/>
    <sheet name="Вид и категорија" sheetId="2" r:id="rId5"/>
  </sheets>
  <calcPr calcId="191029" calcMode="manual"/>
</workbook>
</file>

<file path=xl/calcChain.xml><?xml version="1.0" encoding="utf-8"?>
<calcChain xmlns="http://schemas.openxmlformats.org/spreadsheetml/2006/main">
  <c r="I17" i="4" l="1"/>
  <c r="I15" i="4"/>
  <c r="I10" i="4"/>
  <c r="F16" i="4" l="1"/>
  <c r="G15" i="4"/>
  <c r="N15" i="4"/>
  <c r="G14" i="4"/>
  <c r="N14" i="4"/>
  <c r="E14" i="4"/>
  <c r="F12" i="5"/>
  <c r="F11" i="5" l="1"/>
  <c r="F10" i="5"/>
  <c r="F9" i="5"/>
  <c r="F8" i="5"/>
  <c r="F7" i="5"/>
  <c r="F6" i="5"/>
  <c r="F5" i="5"/>
  <c r="F4" i="5"/>
  <c r="B16" i="4" l="1"/>
  <c r="D17" i="4" l="1"/>
  <c r="T12" i="2"/>
  <c r="E55" i="2" s="1"/>
  <c r="T7" i="2"/>
  <c r="L50" i="2" s="1"/>
  <c r="T8" i="2"/>
  <c r="T9" i="2"/>
  <c r="T10" i="2"/>
  <c r="S53" i="2" s="1"/>
  <c r="L53" i="2"/>
  <c r="T11" i="2"/>
  <c r="L55" i="2"/>
  <c r="T6" i="2"/>
  <c r="M12" i="2"/>
  <c r="M55" i="2" s="1"/>
  <c r="J12" i="2"/>
  <c r="J55" i="2" s="1"/>
  <c r="G12" i="2"/>
  <c r="C12" i="2"/>
  <c r="C55" i="2" s="1"/>
  <c r="G55" i="2"/>
  <c r="O55" i="2"/>
  <c r="P55" i="2"/>
  <c r="Q55" i="2"/>
  <c r="R55" i="2"/>
  <c r="S55" i="2"/>
  <c r="E13" i="4"/>
  <c r="M13" i="4" s="1"/>
  <c r="E12" i="4"/>
  <c r="M12" i="4" s="1"/>
  <c r="G13" i="4"/>
  <c r="D16" i="4"/>
  <c r="N13" i="4"/>
  <c r="G11" i="2"/>
  <c r="M11" i="2"/>
  <c r="M54" i="2" s="1"/>
  <c r="J11" i="2"/>
  <c r="J54" i="2" s="1"/>
  <c r="C11" i="2"/>
  <c r="G12" i="4"/>
  <c r="D50" i="4"/>
  <c r="E50" i="4" s="1"/>
  <c r="N12" i="4"/>
  <c r="N11" i="4"/>
  <c r="N10" i="4"/>
  <c r="N9" i="4"/>
  <c r="N8" i="4"/>
  <c r="N7" i="4"/>
  <c r="G8" i="4"/>
  <c r="G9" i="4"/>
  <c r="G10" i="4"/>
  <c r="G11" i="4"/>
  <c r="G7" i="4"/>
  <c r="D49" i="2"/>
  <c r="H49" i="2"/>
  <c r="D50" i="2"/>
  <c r="K50" i="2"/>
  <c r="N50" i="2"/>
  <c r="H51" i="2"/>
  <c r="D53" i="2"/>
  <c r="F53" i="2"/>
  <c r="H53" i="2"/>
  <c r="I53" i="2"/>
  <c r="K53" i="2"/>
  <c r="N53" i="2"/>
  <c r="B52" i="2"/>
  <c r="B51" i="2"/>
  <c r="B50" i="2"/>
  <c r="B49" i="2"/>
  <c r="N6" i="2"/>
  <c r="N49" i="2" s="1"/>
  <c r="N8" i="2"/>
  <c r="N51" i="2"/>
  <c r="N9" i="2"/>
  <c r="M9" i="2" s="1"/>
  <c r="M52" i="2" s="1"/>
  <c r="N52" i="2"/>
  <c r="M7" i="2"/>
  <c r="M50" i="2" s="1"/>
  <c r="M10" i="2"/>
  <c r="M53" i="2" s="1"/>
  <c r="J10" i="2"/>
  <c r="J53" i="2" s="1"/>
  <c r="G10" i="2"/>
  <c r="G53" i="2" s="1"/>
  <c r="C10" i="2"/>
  <c r="C53" i="2" s="1"/>
  <c r="E9" i="2"/>
  <c r="S9" i="2"/>
  <c r="R9" i="2"/>
  <c r="Q9" i="2"/>
  <c r="P9" i="2"/>
  <c r="O9" i="2"/>
  <c r="L9" i="2"/>
  <c r="K9" i="2"/>
  <c r="K52" i="2"/>
  <c r="I9" i="2"/>
  <c r="J9" i="2" s="1"/>
  <c r="J52" i="2" s="1"/>
  <c r="H9" i="2"/>
  <c r="H52" i="2"/>
  <c r="F9" i="2"/>
  <c r="F52" i="2"/>
  <c r="D9" i="2"/>
  <c r="D52" i="2" s="1"/>
  <c r="B9" i="2"/>
  <c r="C9" i="2" s="1"/>
  <c r="C52" i="2" s="1"/>
  <c r="S8" i="2"/>
  <c r="S51" i="2" s="1"/>
  <c r="R8" i="2"/>
  <c r="R51" i="2" s="1"/>
  <c r="Q8" i="2"/>
  <c r="P8" i="2"/>
  <c r="O8" i="2"/>
  <c r="L8" i="2"/>
  <c r="L51" i="2" s="1"/>
  <c r="K8" i="2"/>
  <c r="K51" i="2"/>
  <c r="I8" i="2"/>
  <c r="J8" i="2" s="1"/>
  <c r="J51" i="2" s="1"/>
  <c r="F8" i="2"/>
  <c r="E8" i="2"/>
  <c r="E51" i="2" s="1"/>
  <c r="D8" i="2"/>
  <c r="D51" i="2" s="1"/>
  <c r="B8" i="2"/>
  <c r="C8" i="2" s="1"/>
  <c r="C51" i="2" s="1"/>
  <c r="R7" i="2"/>
  <c r="R50" i="2" s="1"/>
  <c r="Q7" i="2"/>
  <c r="Q50" i="2" s="1"/>
  <c r="P7" i="2"/>
  <c r="P50" i="2" s="1"/>
  <c r="O7" i="2"/>
  <c r="O50" i="2" s="1"/>
  <c r="I7" i="2"/>
  <c r="H7" i="2"/>
  <c r="H50" i="2"/>
  <c r="F7" i="2"/>
  <c r="F50" i="2"/>
  <c r="E7" i="2"/>
  <c r="B7" i="2"/>
  <c r="C7" i="2" s="1"/>
  <c r="C50" i="2" s="1"/>
  <c r="S6" i="2"/>
  <c r="S49" i="2" s="1"/>
  <c r="R6" i="2"/>
  <c r="R49" i="2" s="1"/>
  <c r="Q6" i="2"/>
  <c r="Q49" i="2" s="1"/>
  <c r="P6" i="2"/>
  <c r="P49" i="2" s="1"/>
  <c r="O6" i="2"/>
  <c r="O49" i="2" s="1"/>
  <c r="L6" i="2"/>
  <c r="M6" i="2" s="1"/>
  <c r="M49" i="2" s="1"/>
  <c r="K6" i="2"/>
  <c r="K49" i="2" s="1"/>
  <c r="I6" i="2"/>
  <c r="J6" i="2" s="1"/>
  <c r="J49" i="2" s="1"/>
  <c r="F6" i="2"/>
  <c r="E6" i="2"/>
  <c r="B6" i="2"/>
  <c r="C6" i="2"/>
  <c r="J7" i="2"/>
  <c r="J50" i="2" s="1"/>
  <c r="I50" i="2"/>
  <c r="G8" i="2"/>
  <c r="G51" i="2" s="1"/>
  <c r="F51" i="2"/>
  <c r="G6" i="2"/>
  <c r="G49" i="2" s="1"/>
  <c r="F49" i="2"/>
  <c r="M8" i="2"/>
  <c r="M51" i="2" s="1"/>
  <c r="G7" i="2"/>
  <c r="G50" i="2" s="1"/>
  <c r="D47" i="4"/>
  <c r="E47" i="4" s="1"/>
  <c r="D46" i="4"/>
  <c r="E46" i="4" s="1"/>
  <c r="D45" i="4"/>
  <c r="E45" i="4"/>
  <c r="E9" i="4"/>
  <c r="S50" i="2"/>
  <c r="E50" i="2"/>
  <c r="E7" i="4"/>
  <c r="O51" i="2"/>
  <c r="P51" i="2"/>
  <c r="E8" i="4"/>
  <c r="E49" i="2"/>
  <c r="D48" i="4"/>
  <c r="E48" i="4" s="1"/>
  <c r="E10" i="4"/>
  <c r="D49" i="4"/>
  <c r="E49" i="4"/>
  <c r="E11" i="4"/>
  <c r="E16" i="4"/>
  <c r="G16" i="4"/>
  <c r="I49" i="2" l="1"/>
  <c r="C49" i="2"/>
  <c r="C54" i="2"/>
  <c r="Q52" i="2"/>
  <c r="G9" i="2"/>
  <c r="G52" i="2" s="1"/>
  <c r="Q51" i="2"/>
  <c r="L52" i="2"/>
  <c r="S52" i="2"/>
  <c r="E52" i="2"/>
  <c r="Q54" i="2"/>
  <c r="E54" i="2"/>
  <c r="L49" i="2"/>
  <c r="R54" i="2"/>
  <c r="O54" i="2"/>
  <c r="G54" i="2"/>
  <c r="L54" i="2"/>
  <c r="S54" i="2"/>
  <c r="I52" i="2"/>
  <c r="P52" i="2"/>
  <c r="P53" i="2"/>
  <c r="R52" i="2"/>
  <c r="P54" i="2"/>
  <c r="O52" i="2"/>
  <c r="Q53" i="2"/>
  <c r="I51" i="2"/>
  <c r="R53" i="2"/>
  <c r="E53" i="2"/>
  <c r="O53" i="2"/>
</calcChain>
</file>

<file path=xl/sharedStrings.xml><?xml version="1.0" encoding="utf-8"?>
<sst xmlns="http://schemas.openxmlformats.org/spreadsheetml/2006/main" count="106" uniqueCount="60">
  <si>
    <t>Година</t>
  </si>
  <si>
    <t>Големи домашни апарати</t>
  </si>
  <si>
    <t>Фрижидери, замрзнувачи и клима уреди</t>
  </si>
  <si>
    <t>Мали домашни апарати</t>
  </si>
  <si>
    <t>Монитори</t>
  </si>
  <si>
    <t>Телевизори</t>
  </si>
  <si>
    <t>Флуросцентни, компактни и други сијалици</t>
  </si>
  <si>
    <t>Електричен и електронски алат</t>
  </si>
  <si>
    <t>Медицински апарати</t>
  </si>
  <si>
    <t>Инструменти за следење и контрола</t>
  </si>
  <si>
    <t>Автомати</t>
  </si>
  <si>
    <t>Опрема за осветлување</t>
  </si>
  <si>
    <t>Вкупно</t>
  </si>
  <si>
    <t>Собрана опрема (kg)</t>
  </si>
  <si>
    <t>2018</t>
  </si>
  <si>
    <t>2019</t>
  </si>
  <si>
    <t>кг/жител</t>
  </si>
  <si>
    <t>цел до 2020</t>
  </si>
  <si>
    <t>t</t>
  </si>
  <si>
    <t>Вкупни количини на ЕЕО</t>
  </si>
  <si>
    <t>Опрема пуштена на пазар (%)</t>
  </si>
  <si>
    <t>2015</t>
  </si>
  <si>
    <t>2016</t>
  </si>
  <si>
    <t>2017</t>
  </si>
  <si>
    <t>Проценет број на население на 31.12</t>
  </si>
  <si>
    <t>Количина на собран ЕЕО по кг/жител</t>
  </si>
  <si>
    <t>Вкупни количини на ЕЕО во проценти</t>
  </si>
  <si>
    <t>Вкупни количини за ОЕЕО</t>
  </si>
  <si>
    <t>Вид и категорија на ОЕЕО</t>
  </si>
  <si>
    <t>`</t>
  </si>
  <si>
    <t>*Опрема за информатички технологии и телекомуникации</t>
  </si>
  <si>
    <t>*Опрема за широка потрошувачка и забавна електроника</t>
  </si>
  <si>
    <t>ЕЕ играчки и опрема за забава и спорт</t>
  </si>
  <si>
    <t>Опрема за широка потрош. и забавна електр.</t>
  </si>
  <si>
    <t>Опрема за инф. технологии и телекомуникации</t>
  </si>
  <si>
    <t>Пуштена опрема на пазар по категории (%)</t>
  </si>
  <si>
    <t xml:space="preserve">Опрема пуштена на пазар </t>
  </si>
  <si>
    <t xml:space="preserve">Собрана опрема </t>
  </si>
  <si>
    <t xml:space="preserve">Преработена опрема </t>
  </si>
  <si>
    <t>%</t>
  </si>
  <si>
    <t>Година/ единица</t>
  </si>
  <si>
    <t>Преработена опрема</t>
  </si>
  <si>
    <t>Извор на податоци: Министерство за животна средина и просторно планирање, Државен завод за статистика</t>
  </si>
  <si>
    <t xml:space="preserve">Табела 2. Вкупни количини на EEO по години во проценти </t>
  </si>
  <si>
    <t xml:space="preserve">Табела 1. Вкупни количини на ЕЕО по години во тони </t>
  </si>
  <si>
    <t>Вкупно (kg)</t>
  </si>
  <si>
    <t>2020</t>
  </si>
  <si>
    <t xml:space="preserve">Табела 4. Пуштена опрема на пазар (kg) по категории и години </t>
  </si>
  <si>
    <t>Слика 3. Количина на собрана ЕЕО по кг/жител*</t>
  </si>
  <si>
    <t>*оваа табела се однесува само на цел дефинирана со краен рок до 31.12.2020</t>
  </si>
  <si>
    <t xml:space="preserve">Количината која е рециклирана(вклучително и подготвена за повторна употреба) и преработена </t>
  </si>
  <si>
    <t xml:space="preserve">Пуштена електрична и електронска опрема на пазарот по категории </t>
  </si>
  <si>
    <t>Опрема за температурна размена</t>
  </si>
  <si>
    <t>Екрани, монитори и опрема која има екрани со површина поголема од 100 cm2</t>
  </si>
  <si>
    <t>Светилки</t>
  </si>
  <si>
    <t>Голема Опрема</t>
  </si>
  <si>
    <t>Мала опрема</t>
  </si>
  <si>
    <t xml:space="preserve">Мала информатичко -комуникациска технологија и телекомуникациска опрема </t>
  </si>
  <si>
    <t>Вкупни количини на ЕЕО по години во тони</t>
  </si>
  <si>
    <t>Пуштена опрема на пазар по категори за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</si>
</sst>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0.000"/>
    <numFmt numFmtId="165" formatCode="_-* #,##0.00\ _д_е_н_._-;\-* #,##0.00\ _д_е_н_._-;_-* &quot;-&quot;??\ _д_е_н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Minion Pro"/>
      <family val="1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/>
    <xf numFmtId="0" fontId="2" fillId="0" borderId="4" xfId="0" applyFont="1" applyBorder="1"/>
    <xf numFmtId="164" fontId="2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/>
    <xf numFmtId="164" fontId="5" fillId="0" borderId="0" xfId="0" applyNumberFormat="1" applyFont="1"/>
    <xf numFmtId="4" fontId="5" fillId="0" borderId="0" xfId="0" applyNumberFormat="1" applyFont="1"/>
    <xf numFmtId="9" fontId="0" fillId="0" borderId="0" xfId="1" applyFont="1" applyBorder="1"/>
    <xf numFmtId="9" fontId="0" fillId="0" borderId="0" xfId="1" applyFont="1"/>
    <xf numFmtId="0" fontId="0" fillId="0" borderId="0" xfId="0" applyAlignment="1">
      <alignment horizontal="center"/>
    </xf>
    <xf numFmtId="10" fontId="0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9" fontId="0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9" fontId="0" fillId="0" borderId="6" xfId="1" applyFont="1" applyBorder="1" applyAlignment="1">
      <alignment horizontal="right" vertical="center" wrapText="1"/>
    </xf>
    <xf numFmtId="10" fontId="0" fillId="0" borderId="0" xfId="0" applyNumberFormat="1"/>
    <xf numFmtId="0" fontId="9" fillId="0" borderId="0" xfId="0" applyFont="1"/>
    <xf numFmtId="4" fontId="10" fillId="0" borderId="1" xfId="0" applyNumberFormat="1" applyFont="1" applyBorder="1"/>
    <xf numFmtId="1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9" fontId="2" fillId="0" borderId="0" xfId="1" applyFont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/>
    <xf numFmtId="9" fontId="4" fillId="0" borderId="0" xfId="1" applyFont="1" applyBorder="1"/>
    <xf numFmtId="4" fontId="3" fillId="0" borderId="0" xfId="0" applyNumberFormat="1" applyFont="1" applyAlignment="1">
      <alignment vertical="center" wrapText="1"/>
    </xf>
    <xf numFmtId="9" fontId="2" fillId="0" borderId="1" xfId="1" applyFont="1" applyBorder="1" applyAlignment="1">
      <alignment vertical="center" wrapText="1"/>
    </xf>
    <xf numFmtId="4" fontId="0" fillId="0" borderId="6" xfId="0" applyNumberFormat="1" applyBorder="1" applyAlignment="1">
      <alignment horizontal="left" vertical="center" wrapText="1"/>
    </xf>
    <xf numFmtId="4" fontId="0" fillId="0" borderId="6" xfId="0" applyNumberFormat="1" applyBorder="1" applyAlignment="1">
      <alignment horizontal="center" vertical="center" wrapText="1"/>
    </xf>
    <xf numFmtId="0" fontId="4" fillId="0" borderId="0" xfId="0" applyFont="1"/>
    <xf numFmtId="43" fontId="0" fillId="0" borderId="1" xfId="2" applyFont="1" applyBorder="1"/>
    <xf numFmtId="43" fontId="0" fillId="0" borderId="1" xfId="2" applyFont="1" applyBorder="1" applyAlignment="1">
      <alignment horizontal="right" vertical="center" wrapText="1"/>
    </xf>
    <xf numFmtId="0" fontId="3" fillId="0" borderId="7" xfId="0" applyFont="1" applyBorder="1"/>
    <xf numFmtId="4" fontId="0" fillId="0" borderId="6" xfId="0" applyNumberFormat="1" applyBorder="1"/>
    <xf numFmtId="0" fontId="0" fillId="0" borderId="1" xfId="0" applyBorder="1"/>
    <xf numFmtId="164" fontId="0" fillId="0" borderId="1" xfId="0" applyNumberFormat="1" applyBorder="1"/>
    <xf numFmtId="4" fontId="2" fillId="0" borderId="0" xfId="0" applyNumberFormat="1" applyFont="1"/>
    <xf numFmtId="2" fontId="12" fillId="0" borderId="0" xfId="0" applyNumberFormat="1" applyFont="1" applyAlignment="1">
      <alignment horizontal="left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7" fontId="8" fillId="2" borderId="1" xfId="2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9" fontId="0" fillId="0" borderId="1" xfId="1" applyFont="1" applyBorder="1" applyAlignment="1">
      <alignment horizontal="right" vertical="center" wrapText="1"/>
    </xf>
    <xf numFmtId="0" fontId="13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 wrapText="1"/>
    </xf>
    <xf numFmtId="4" fontId="10" fillId="0" borderId="0" xfId="0" applyNumberFormat="1" applyFont="1"/>
    <xf numFmtId="4" fontId="10" fillId="0" borderId="0" xfId="0" applyNumberFormat="1" applyFont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 vertical="center" wrapText="1"/>
    </xf>
    <xf numFmtId="4" fontId="0" fillId="3" borderId="1" xfId="0" applyNumberFormat="1" applyFill="1" applyBorder="1"/>
    <xf numFmtId="9" fontId="0" fillId="3" borderId="1" xfId="1" applyFont="1" applyFill="1" applyBorder="1"/>
    <xf numFmtId="10" fontId="0" fillId="4" borderId="1" xfId="1" applyNumberFormat="1" applyFont="1" applyFill="1" applyBorder="1" applyAlignment="1">
      <alignment horizontal="left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10" fontId="0" fillId="4" borderId="1" xfId="1" applyNumberFormat="1" applyFont="1" applyFill="1" applyBorder="1" applyAlignment="1">
      <alignment horizontal="right"/>
    </xf>
    <xf numFmtId="9" fontId="0" fillId="4" borderId="1" xfId="1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83D74C34-ECE6-41A1-A8AD-43A9405605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'пуш,собр,рец и прераб.'!$C$2:$C$3</c:f>
              <c:strCache>
                <c:ptCount val="2"/>
                <c:pt idx="0">
                  <c:v>Опрема пуштена на пазар </c:v>
                </c:pt>
                <c:pt idx="1">
                  <c:v>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'пуш,собр,рец и прераб.'!$B$4:$B$12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'пуш,собр,рец и прераб.'!$C$4:$C$12</c:f>
              <c:numCache>
                <c:formatCode>_(* #,##0.00_);_(* \(#,##0.00\);_(* "-"??_);_(@_)</c:formatCode>
                <c:ptCount val="9"/>
                <c:pt idx="0">
                  <c:v>11714.531153599999</c:v>
                </c:pt>
                <c:pt idx="1">
                  <c:v>13062.470803600001</c:v>
                </c:pt>
                <c:pt idx="2">
                  <c:v>13138.4340366</c:v>
                </c:pt>
                <c:pt idx="3">
                  <c:v>9737.0436686999983</c:v>
                </c:pt>
                <c:pt idx="4">
                  <c:v>12897.979675799999</c:v>
                </c:pt>
                <c:pt idx="5">
                  <c:v>15001.35549</c:v>
                </c:pt>
                <c:pt idx="6">
                  <c:v>15641.76</c:v>
                </c:pt>
                <c:pt idx="7">
                  <c:v>17161.39</c:v>
                </c:pt>
                <c:pt idx="8">
                  <c:v>18527.560000000001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6-44FA-983D-B76E329465D2}"/>
            </c:ext>
          </c:extLst>
        </c:ser>
        <c:ser>
          <c:idx val="1"/>
          <c:order val="1"/>
          <c:tx>
            <c:strRef>
              <c:f>'пуш,собр,рец и прераб.'!$D$2:$D$3</c:f>
              <c:strCache>
                <c:ptCount val="2"/>
                <c:pt idx="0">
                  <c:v>Собрана опрема </c:v>
                </c:pt>
                <c:pt idx="1">
                  <c:v>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'пуш,собр,рец и прераб.'!$B$4:$B$12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'пуш,собр,рец и прераб.'!$D$4:$D$12</c:f>
              <c:numCache>
                <c:formatCode>_(* #,##0.00_);_(* \(#,##0.00\);_(* "-"??_);_(@_)</c:formatCode>
                <c:ptCount val="9"/>
                <c:pt idx="0">
                  <c:v>272.05786999999998</c:v>
                </c:pt>
                <c:pt idx="1">
                  <c:v>565.93696</c:v>
                </c:pt>
                <c:pt idx="2">
                  <c:v>733.31380000000001</c:v>
                </c:pt>
                <c:pt idx="3">
                  <c:v>2222.8584000000001</c:v>
                </c:pt>
                <c:pt idx="4">
                  <c:v>2206.6925000000001</c:v>
                </c:pt>
                <c:pt idx="5">
                  <c:v>3620.81</c:v>
                </c:pt>
                <c:pt idx="6">
                  <c:v>3227</c:v>
                </c:pt>
                <c:pt idx="7">
                  <c:v>5169.2700000000004</c:v>
                </c:pt>
                <c:pt idx="8">
                  <c:v>6758.37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6-44FA-983D-B76E329465D2}"/>
            </c:ext>
          </c:extLst>
        </c:ser>
        <c:ser>
          <c:idx val="2"/>
          <c:order val="2"/>
          <c:tx>
            <c:strRef>
              <c:f>'пуш,собр,рец и прераб.'!$E$2:$E$3</c:f>
              <c:strCache>
                <c:ptCount val="2"/>
                <c:pt idx="0">
                  <c:v>Количината која е рециклирана(вклучително и подготвена за повторна употреба) и преработена </c:v>
                </c:pt>
                <c:pt idx="1">
                  <c:v>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'пуш,собр,рец и прераб.'!$B$4:$B$12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'пуш,собр,рец и прераб.'!$E$4:$E$12</c:f>
              <c:numCache>
                <c:formatCode>_(* #,##0.00_);_(* \(#,##0.00\);_(* "-"??_);_(@_)</c:formatCode>
                <c:ptCount val="9"/>
                <c:pt idx="0">
                  <c:v>250.71587</c:v>
                </c:pt>
                <c:pt idx="1">
                  <c:v>407.42250000000001</c:v>
                </c:pt>
                <c:pt idx="2">
                  <c:v>792.67319999999995</c:v>
                </c:pt>
                <c:pt idx="3">
                  <c:v>217.76670000000001</c:v>
                </c:pt>
                <c:pt idx="4">
                  <c:v>1669.4907000000001</c:v>
                </c:pt>
                <c:pt idx="5">
                  <c:v>3497.71</c:v>
                </c:pt>
                <c:pt idx="6">
                  <c:v>2971.97</c:v>
                </c:pt>
                <c:pt idx="7">
                  <c:v>4724.7700000000004</c:v>
                </c:pt>
                <c:pt idx="8">
                  <c:v>5689.41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76-44FA-983D-B76E3294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6688655"/>
        <c:axId val="1659569247"/>
      </c:barChart>
      <c:catAx>
        <c:axId val="147668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69247"/>
        <c:crosses val="autoZero"/>
        <c:auto val="1"/>
        <c:lblAlgn val="ctr"/>
        <c:lblOffset val="100"/>
        <c:noMultiLvlLbl val="0"/>
      </c:catAx>
      <c:valAx>
        <c:axId val="165956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668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F9-44C8-892C-8238CB13A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9-44C8-892C-8238CB13A6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9-44C8-892C-8238CB13A6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9-44C8-892C-8238CB13A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9-44C8-892C-8238CB13A6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F9-44C8-892C-8238CB13A6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'vid i kategorija '!$C$7:$H$7</c:f>
              <c:strCache>
                <c:ptCount val="6"/>
                <c:pt idx="0">
                  <c:v>Опрема за температурна размена</c:v>
                </c:pt>
                <c:pt idx="1">
                  <c:v>Екрани, монитори и опрема која има екрани со површина поголема од 100 cm2</c:v>
                </c:pt>
                <c:pt idx="2">
                  <c:v>Светилки</c:v>
                </c:pt>
                <c:pt idx="3">
                  <c:v>Голема Опрема</c:v>
                </c:pt>
                <c:pt idx="4">
                  <c:v>Мала опрема</c:v>
                </c:pt>
                <c:pt idx="5">
                  <c:v>Мала информатичко -комуникациска технологија и телекомуникациска опрема </c:v>
                </c:pt>
              </c:strCache>
            </c:strRef>
          </c:cat>
          <c:val>
            <c:numRef>
              <c:f>'vid i kategorija '!$C$9:$H$9</c:f>
              <c:numCache>
                <c:formatCode>#,##0.00</c:formatCode>
                <c:ptCount val="6"/>
                <c:pt idx="0">
                  <c:v>6568571.1900000004</c:v>
                </c:pt>
                <c:pt idx="1">
                  <c:v>1119722.76</c:v>
                </c:pt>
                <c:pt idx="2">
                  <c:v>32108.12</c:v>
                </c:pt>
                <c:pt idx="3">
                  <c:v>8444082.3800000008</c:v>
                </c:pt>
                <c:pt idx="4">
                  <c:v>1787290.3</c:v>
                </c:pt>
                <c:pt idx="5">
                  <c:v>575780.64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1-430A-98E7-F81EF515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41250331688732E-2"/>
          <c:y val="5.4370698171809929E-2"/>
          <c:w val="0.89963399186248383"/>
          <c:h val="0.75803344634940839"/>
        </c:manualLayout>
      </c:layout>
      <c:lineChart>
        <c:grouping val="standard"/>
        <c:varyColors val="0"/>
        <c:ser>
          <c:idx val="0"/>
          <c:order val="0"/>
          <c:tx>
            <c:strRef>
              <c:f>Вк.количини!$L$5</c:f>
              <c:strCache>
                <c:ptCount val="1"/>
                <c:pt idx="0">
                  <c:v>Опрема пуштена на пазар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Вк.количини!$K$7:$K$13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Вк.количини!$L$7:$L$13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E-5542-BC07-DBD944129B9F}"/>
            </c:ext>
          </c:extLst>
        </c:ser>
        <c:ser>
          <c:idx val="1"/>
          <c:order val="1"/>
          <c:tx>
            <c:strRef>
              <c:f>Вк.количини!$M$5</c:f>
              <c:strCache>
                <c:ptCount val="1"/>
                <c:pt idx="0">
                  <c:v>Собрана опрема 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Вк.количини!$K$7:$K$13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Вк.количини!$M$7:$M$13</c:f>
              <c:numCache>
                <c:formatCode>0.00%</c:formatCode>
                <c:ptCount val="7"/>
                <c:pt idx="0">
                  <c:v>2.3223965725371238E-2</c:v>
                </c:pt>
                <c:pt idx="1">
                  <c:v>4.3325414349942776E-2</c:v>
                </c:pt>
                <c:pt idx="2">
                  <c:v>5.5814399033948262E-2</c:v>
                </c:pt>
                <c:pt idx="3">
                  <c:v>0.22828883957308738</c:v>
                </c:pt>
                <c:pt idx="4">
                  <c:v>0.17108822896816434</c:v>
                </c:pt>
                <c:pt idx="5">
                  <c:v>0.24136552209656356</c:v>
                </c:pt>
                <c:pt idx="6">
                  <c:v>0.20630670717361729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4D-254F-A379-4F5ED189BF68}"/>
            </c:ext>
          </c:extLst>
        </c:ser>
        <c:ser>
          <c:idx val="2"/>
          <c:order val="2"/>
          <c:tx>
            <c:strRef>
              <c:f>Вк.количини!$N$5</c:f>
              <c:strCache>
                <c:ptCount val="1"/>
                <c:pt idx="0">
                  <c:v>Преработена опрема 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Вк.количини!$K$7:$K$13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Вк.количини!$N$7:$N$13</c:f>
              <c:numCache>
                <c:formatCode>0%</c:formatCode>
                <c:ptCount val="7"/>
                <c:pt idx="0">
                  <c:v>2.14021258480287E-2</c:v>
                </c:pt>
                <c:pt idx="1">
                  <c:v>3.1190308948879326E-2</c:v>
                </c:pt>
                <c:pt idx="2">
                  <c:v>6.033239561060582E-2</c:v>
                </c:pt>
                <c:pt idx="3">
                  <c:v>2.2364765673180374E-2</c:v>
                </c:pt>
                <c:pt idx="4">
                  <c:v>0.12943815558435121</c:v>
                </c:pt>
                <c:pt idx="5">
                  <c:v>0.23315959696652719</c:v>
                </c:pt>
                <c:pt idx="6">
                  <c:v>0.19000227595871563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D-254F-A379-4F5ED189B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097888"/>
        <c:axId val="739097344"/>
      </c:lineChart>
      <c:catAx>
        <c:axId val="73909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7344"/>
        <c:crosses val="autoZero"/>
        <c:auto val="1"/>
        <c:lblAlgn val="ctr"/>
        <c:lblOffset val="100"/>
        <c:noMultiLvlLbl val="0"/>
      </c:catAx>
      <c:valAx>
        <c:axId val="7390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Вк.количини!$E$44</c:f>
              <c:strCache>
                <c:ptCount val="1"/>
                <c:pt idx="0">
                  <c:v>кг/жител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Вк.количини!$A$45:$A$50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Вк.количини!$E$45:$E$50</c:f>
              <c:numCache>
                <c:formatCode>#,##0.00</c:formatCode>
                <c:ptCount val="6"/>
                <c:pt idx="0">
                  <c:v>0.13134782969741388</c:v>
                </c:pt>
                <c:pt idx="1">
                  <c:v>0.27291142121674183</c:v>
                </c:pt>
                <c:pt idx="2">
                  <c:v>0.35335298349492439</c:v>
                </c:pt>
                <c:pt idx="3">
                  <c:v>1.0701575056375809</c:v>
                </c:pt>
                <c:pt idx="4">
                  <c:v>1.0628234489501531</c:v>
                </c:pt>
                <c:pt idx="5">
                  <c:v>1.7501914145730295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F-3843-9E5D-D65566881B2F}"/>
            </c:ext>
          </c:extLst>
        </c:ser>
        <c:ser>
          <c:idx val="1"/>
          <c:order val="1"/>
          <c:tx>
            <c:strRef>
              <c:f>Вк.количини!$F$44</c:f>
              <c:strCache>
                <c:ptCount val="1"/>
                <c:pt idx="0">
                  <c:v>цел до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Вк.количини!$A$45:$A$50</c:f>
              <c:strCach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strCache>
            </c:strRef>
          </c:cat>
          <c:val>
            <c:numRef>
              <c:f>Вк.количини!$F$45:$F$50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F-3843-9E5D-D65566881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098976"/>
        <c:axId val="739100608"/>
      </c:lineChart>
      <c:catAx>
        <c:axId val="73909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100608"/>
        <c:crosses val="autoZero"/>
        <c:auto val="1"/>
        <c:lblAlgn val="ctr"/>
        <c:lblOffset val="100"/>
        <c:noMultiLvlLbl val="0"/>
      </c:catAx>
      <c:valAx>
        <c:axId val="7391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kg</a:t>
                </a:r>
              </a:p>
            </c:rich>
          </c:tx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09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67789634459748"/>
          <c:y val="4.2650667221908946E-2"/>
          <c:w val="0.8314586250835132"/>
          <c:h val="0.74791763811229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Вк.количини!$B$5</c:f>
              <c:strCache>
                <c:ptCount val="1"/>
                <c:pt idx="0">
                  <c:v>Опрема пуштена на пазар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Вк.количини!$A$7:$A$15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Вк.количини!$B$7:$B$15</c:f>
              <c:numCache>
                <c:formatCode>_(* #,##0.00_);_(* \(#,##0.00\);_(* "-"??_);_(@_)</c:formatCode>
                <c:ptCount val="9"/>
                <c:pt idx="0">
                  <c:v>11714.531153599999</c:v>
                </c:pt>
                <c:pt idx="1">
                  <c:v>13062.470803600001</c:v>
                </c:pt>
                <c:pt idx="2">
                  <c:v>13138.4340366</c:v>
                </c:pt>
                <c:pt idx="3">
                  <c:v>9737.0436686999983</c:v>
                </c:pt>
                <c:pt idx="4">
                  <c:v>12897.979675799999</c:v>
                </c:pt>
                <c:pt idx="5">
                  <c:v>15001.35549</c:v>
                </c:pt>
                <c:pt idx="6">
                  <c:v>15641.76</c:v>
                </c:pt>
                <c:pt idx="7">
                  <c:v>17161.39</c:v>
                </c:pt>
                <c:pt idx="8">
                  <c:v>18527.560000000001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FEE-BDC3-A49C8C6347E2}"/>
            </c:ext>
          </c:extLst>
        </c:ser>
        <c:ser>
          <c:idx val="1"/>
          <c:order val="1"/>
          <c:tx>
            <c:strRef>
              <c:f>Вк.количини!$D$5</c:f>
              <c:strCache>
                <c:ptCount val="1"/>
                <c:pt idx="0">
                  <c:v>Собрана опрема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Вк.количини!$A$7:$A$15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Вк.количини!$D$7:$D$15</c:f>
              <c:numCache>
                <c:formatCode>_(* #,##0.00_);_(* \(#,##0.00\);_(* "-"??_);_(@_)</c:formatCode>
                <c:ptCount val="9"/>
                <c:pt idx="0">
                  <c:v>272.05786999999998</c:v>
                </c:pt>
                <c:pt idx="1">
                  <c:v>565.93696</c:v>
                </c:pt>
                <c:pt idx="2">
                  <c:v>733.31380000000001</c:v>
                </c:pt>
                <c:pt idx="3">
                  <c:v>2222.8584000000001</c:v>
                </c:pt>
                <c:pt idx="4">
                  <c:v>2206.6925000000001</c:v>
                </c:pt>
                <c:pt idx="5">
                  <c:v>3620.81</c:v>
                </c:pt>
                <c:pt idx="6">
                  <c:v>3227</c:v>
                </c:pt>
                <c:pt idx="7">
                  <c:v>5169.2700000000004</c:v>
                </c:pt>
                <c:pt idx="8">
                  <c:v>6758.37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FEE-BDC3-A49C8C6347E2}"/>
            </c:ext>
          </c:extLst>
        </c:ser>
        <c:ser>
          <c:idx val="2"/>
          <c:order val="2"/>
          <c:tx>
            <c:strRef>
              <c:f>Вк.количини!$F$5</c:f>
              <c:strCache>
                <c:ptCount val="1"/>
                <c:pt idx="0">
                  <c:v>Количината која е рециклирана(вклучително и подготвена за повторна употреба) и преработена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Вк.количини!$A$7:$A$15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Вк.количини!$F$7:$F$15</c:f>
              <c:numCache>
                <c:formatCode>_(* #,##0.00_);_(* \(#,##0.00\);_(* "-"??_);_(@_)</c:formatCode>
                <c:ptCount val="9"/>
                <c:pt idx="0">
                  <c:v>250.71587</c:v>
                </c:pt>
                <c:pt idx="1">
                  <c:v>407.42250000000001</c:v>
                </c:pt>
                <c:pt idx="2">
                  <c:v>792.67319999999995</c:v>
                </c:pt>
                <c:pt idx="3">
                  <c:v>217.76670000000001</c:v>
                </c:pt>
                <c:pt idx="4">
                  <c:v>1669.4907000000001</c:v>
                </c:pt>
                <c:pt idx="5">
                  <c:v>3497.71</c:v>
                </c:pt>
                <c:pt idx="6">
                  <c:v>2971.97</c:v>
                </c:pt>
                <c:pt idx="7">
                  <c:v>4724.7700000000004</c:v>
                </c:pt>
                <c:pt idx="8">
                  <c:v>5689.41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FEE-BDC3-A49C8C63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337640"/>
        <c:axId val="568337968"/>
      </c:barChart>
      <c:catAx>
        <c:axId val="56833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37968"/>
        <c:crosses val="autoZero"/>
        <c:auto val="1"/>
        <c:lblAlgn val="ctr"/>
        <c:lblOffset val="100"/>
        <c:noMultiLvlLbl val="0"/>
      </c:catAx>
      <c:valAx>
        <c:axId val="56833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33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31774472526922"/>
          <c:y val="0.87299026924634138"/>
          <c:w val="0.76937816269227277"/>
          <c:h val="0.1064831014928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'oprema pushtena na pazar'!$C$3:$C$4</c:f>
              <c:strCache>
                <c:ptCount val="2"/>
                <c:pt idx="0">
                  <c:v>Опрема пуштена на пазар </c:v>
                </c:pt>
                <c:pt idx="1">
                  <c:v>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'oprema pushtena na pazar'!$B$5:$B$13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xVal>
          <c:yVal>
            <c:numRef>
              <c:f>'oprema pushtena na pazar'!$C$5:$C$13</c:f>
              <c:numCache>
                <c:formatCode>_(* #,##0.00_);_(* \(#,##0.00\);_(* "-"??_);_(@_)</c:formatCode>
                <c:ptCount val="9"/>
                <c:pt idx="0">
                  <c:v>11714.531153599999</c:v>
                </c:pt>
                <c:pt idx="1">
                  <c:v>13062.470803600001</c:v>
                </c:pt>
                <c:pt idx="2">
                  <c:v>13138.4340366</c:v>
                </c:pt>
                <c:pt idx="3">
                  <c:v>9737.0436686999983</c:v>
                </c:pt>
                <c:pt idx="4">
                  <c:v>12897.979675799999</c:v>
                </c:pt>
                <c:pt idx="5">
                  <c:v>15001.35549</c:v>
                </c:pt>
                <c:pt idx="6">
                  <c:v>15641.76</c:v>
                </c:pt>
                <c:pt idx="7">
                  <c:v>17161.39</c:v>
                </c:pt>
                <c:pt idx="8">
                  <c:v>18527.560000000001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BF-461C-809D-65BE7947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50512"/>
        <c:axId val="213809808"/>
      </c:scatterChart>
      <c:valAx>
        <c:axId val="6566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09808"/>
        <c:crossesAt val="0"/>
        <c:crossBetween val="midCat"/>
      </c:valAx>
      <c:valAx>
        <c:axId val="21380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5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38121946024203"/>
          <c:y val="4.4679080382408719E-2"/>
          <c:w val="0.7526838151094426"/>
          <c:h val="0.78250698359047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'Вид и категорија'!$A$6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категорија'!$C$6:$S$6</c:f>
              <c:numCache>
                <c:formatCode>#,##0.00</c:formatCode>
                <c:ptCount val="10"/>
                <c:pt idx="0">
                  <c:v>9299356.152999999</c:v>
                </c:pt>
                <c:pt idx="1">
                  <c:v>620805.42650000006</c:v>
                </c:pt>
                <c:pt idx="2">
                  <c:v>383938.72269999998</c:v>
                </c:pt>
                <c:pt idx="3">
                  <c:v>1093992.773</c:v>
                </c:pt>
                <c:pt idx="4">
                  <c:v>24124.171000000002</c:v>
                </c:pt>
                <c:pt idx="5">
                  <c:v>40429.404000000002</c:v>
                </c:pt>
                <c:pt idx="6">
                  <c:v>72735.55</c:v>
                </c:pt>
                <c:pt idx="7">
                  <c:v>23957.482400000001</c:v>
                </c:pt>
                <c:pt idx="8">
                  <c:v>50424.204999999994</c:v>
                </c:pt>
                <c:pt idx="9">
                  <c:v>104767.246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1-FE41-8366-A59251851DD8}"/>
            </c:ext>
          </c:extLst>
        </c:ser>
        <c:ser>
          <c:idx val="1"/>
          <c:order val="1"/>
          <c:tx>
            <c:strRef>
              <c:f>'Вид и категорија'!$A$7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категорија'!$C$7:$S$7</c:f>
              <c:numCache>
                <c:formatCode>#,##0.00</c:formatCode>
                <c:ptCount val="10"/>
                <c:pt idx="0">
                  <c:v>10723741.079</c:v>
                </c:pt>
                <c:pt idx="1">
                  <c:v>707941.57370000007</c:v>
                </c:pt>
                <c:pt idx="2">
                  <c:v>481094.25300000003</c:v>
                </c:pt>
                <c:pt idx="3">
                  <c:v>665294.40139999997</c:v>
                </c:pt>
                <c:pt idx="4">
                  <c:v>23967.7726</c:v>
                </c:pt>
                <c:pt idx="5">
                  <c:v>56369.299599999998</c:v>
                </c:pt>
                <c:pt idx="6">
                  <c:v>161240.72</c:v>
                </c:pt>
                <c:pt idx="7">
                  <c:v>11762.2533</c:v>
                </c:pt>
                <c:pt idx="8">
                  <c:v>147609.01999999999</c:v>
                </c:pt>
                <c:pt idx="9">
                  <c:v>83450.429999999993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1-FE41-8366-A59251851DD8}"/>
            </c:ext>
          </c:extLst>
        </c:ser>
        <c:ser>
          <c:idx val="2"/>
          <c:order val="2"/>
          <c:tx>
            <c:strRef>
              <c:f>'Вид и категорија'!$A$8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категорија'!$C$8:$S$8</c:f>
              <c:numCache>
                <c:formatCode>#,##0.00</c:formatCode>
                <c:ptCount val="10"/>
                <c:pt idx="0">
                  <c:v>10749494.471000001</c:v>
                </c:pt>
                <c:pt idx="1">
                  <c:v>932214.96880000015</c:v>
                </c:pt>
                <c:pt idx="2">
                  <c:v>436555.24969999999</c:v>
                </c:pt>
                <c:pt idx="3">
                  <c:v>590984.04999999993</c:v>
                </c:pt>
                <c:pt idx="4">
                  <c:v>48442.698099999907</c:v>
                </c:pt>
                <c:pt idx="5">
                  <c:v>90879.854200000002</c:v>
                </c:pt>
                <c:pt idx="6">
                  <c:v>43108.79</c:v>
                </c:pt>
                <c:pt idx="7">
                  <c:v>10641.377</c:v>
                </c:pt>
                <c:pt idx="8">
                  <c:v>209765.799</c:v>
                </c:pt>
                <c:pt idx="9">
                  <c:v>26347.056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1-FE41-8366-A59251851DD8}"/>
            </c:ext>
          </c:extLst>
        </c:ser>
        <c:ser>
          <c:idx val="3"/>
          <c:order val="3"/>
          <c:tx>
            <c:strRef>
              <c:f>'Вид и категорија'!$A$9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категорија'!$C$9:$S$9</c:f>
              <c:numCache>
                <c:formatCode>#,##0.00</c:formatCode>
                <c:ptCount val="10"/>
                <c:pt idx="0">
                  <c:v>7428070.4783000005</c:v>
                </c:pt>
                <c:pt idx="1">
                  <c:v>467728.94440000004</c:v>
                </c:pt>
                <c:pt idx="2">
                  <c:v>640388.06199999992</c:v>
                </c:pt>
                <c:pt idx="3">
                  <c:v>368178.77650000004</c:v>
                </c:pt>
                <c:pt idx="4">
                  <c:v>105511.91250000001</c:v>
                </c:pt>
                <c:pt idx="5">
                  <c:v>182478.1231</c:v>
                </c:pt>
                <c:pt idx="6">
                  <c:v>115752.97</c:v>
                </c:pt>
                <c:pt idx="7">
                  <c:v>25826.332699999999</c:v>
                </c:pt>
                <c:pt idx="8">
                  <c:v>233821.01200000002</c:v>
                </c:pt>
                <c:pt idx="9">
                  <c:v>63687.067199999998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1-FE41-8366-A59251851DD8}"/>
            </c:ext>
          </c:extLst>
        </c:ser>
        <c:ser>
          <c:idx val="4"/>
          <c:order val="4"/>
          <c:tx>
            <c:strRef>
              <c:f>'Вид и категорија'!$A$10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категорија'!$C$10:$S$10</c:f>
              <c:numCache>
                <c:formatCode>#,##0.00</c:formatCode>
                <c:ptCount val="10"/>
                <c:pt idx="0">
                  <c:v>10359052.913000001</c:v>
                </c:pt>
                <c:pt idx="1">
                  <c:v>585167.81000000006</c:v>
                </c:pt>
                <c:pt idx="2">
                  <c:v>693947.09210000001</c:v>
                </c:pt>
                <c:pt idx="3">
                  <c:v>547780.04200000002</c:v>
                </c:pt>
                <c:pt idx="4">
                  <c:v>96211.752699999997</c:v>
                </c:pt>
                <c:pt idx="5">
                  <c:v>180766.35190000001</c:v>
                </c:pt>
                <c:pt idx="6">
                  <c:v>142155.21</c:v>
                </c:pt>
                <c:pt idx="7">
                  <c:v>28507.920000000002</c:v>
                </c:pt>
                <c:pt idx="8">
                  <c:v>188166.3873</c:v>
                </c:pt>
                <c:pt idx="9">
                  <c:v>76224.196800000005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61-FE41-8366-A59251851DD8}"/>
            </c:ext>
          </c:extLst>
        </c:ser>
        <c:ser>
          <c:idx val="5"/>
          <c:order val="5"/>
          <c:tx>
            <c:strRef>
              <c:f>'Вид и категорија'!$A$11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категорија'!$C$11:$S$11</c:f>
              <c:numCache>
                <c:formatCode>#,##0.00</c:formatCode>
                <c:ptCount val="10"/>
                <c:pt idx="0">
                  <c:v>11829022.215999998</c:v>
                </c:pt>
                <c:pt idx="1">
                  <c:v>960694.15700000001</c:v>
                </c:pt>
                <c:pt idx="2">
                  <c:v>683771.55700000003</c:v>
                </c:pt>
                <c:pt idx="3">
                  <c:v>826137.46600000001</c:v>
                </c:pt>
                <c:pt idx="4">
                  <c:v>90056.118000000002</c:v>
                </c:pt>
                <c:pt idx="5">
                  <c:v>131112.49799999999</c:v>
                </c:pt>
                <c:pt idx="6">
                  <c:v>191074.37</c:v>
                </c:pt>
                <c:pt idx="7">
                  <c:v>34944.28</c:v>
                </c:pt>
                <c:pt idx="8">
                  <c:v>179120.329</c:v>
                </c:pt>
                <c:pt idx="9">
                  <c:v>75422.495999999999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E-4F6B-BB8F-433205288E1C}"/>
            </c:ext>
          </c:extLst>
        </c:ser>
        <c:ser>
          <c:idx val="6"/>
          <c:order val="6"/>
          <c:tx>
            <c:strRef>
              <c:f>'Вид и категорија'!$A$12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категорија'!$C$12:$S$12</c:f>
              <c:numCache>
                <c:formatCode>#,##0.00</c:formatCode>
                <c:ptCount val="10"/>
                <c:pt idx="0">
                  <c:v>12368691.439999999</c:v>
                </c:pt>
                <c:pt idx="1">
                  <c:v>837138.29</c:v>
                </c:pt>
                <c:pt idx="2">
                  <c:v>977748.6</c:v>
                </c:pt>
                <c:pt idx="3">
                  <c:v>737263.77</c:v>
                </c:pt>
                <c:pt idx="4">
                  <c:v>72116.91</c:v>
                </c:pt>
                <c:pt idx="5">
                  <c:v>145473.87</c:v>
                </c:pt>
                <c:pt idx="6">
                  <c:v>268745.78999999998</c:v>
                </c:pt>
                <c:pt idx="7">
                  <c:v>76330.240000000005</c:v>
                </c:pt>
                <c:pt idx="8">
                  <c:v>97789.5</c:v>
                </c:pt>
                <c:pt idx="9">
                  <c:v>60462.05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B-4936-9C73-EBD96D5C6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9095712"/>
        <c:axId val="739096256"/>
      </c:barChart>
      <c:catAx>
        <c:axId val="7390957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9096256"/>
        <c:crosses val="autoZero"/>
        <c:auto val="1"/>
        <c:lblAlgn val="ctr"/>
        <c:lblOffset val="100"/>
        <c:noMultiLvlLbl val="0"/>
      </c:catAx>
      <c:valAx>
        <c:axId val="73909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килограми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3909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1563429034015"/>
          <c:y val="0.13304734471081345"/>
          <c:w val="0.39635408670286265"/>
          <c:h val="0.77756908872230268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D-48A8-A9A2-566C2A2F5D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30D-48A8-A9A2-566C2A2F5D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0D-48A8-A9A2-566C2A2F5D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30D-48A8-A9A2-566C2A2F5D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0E-4216-9F44-30ABCC7E43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0E-4216-9F44-30ABCC7E43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60E-4216-9F44-30ABCC7E43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60E-4216-9F44-30ABCC7E43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60E-4216-9F44-30ABCC7E430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60E-4216-9F44-30ABCC7E430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74B-4440-AD20-5992935139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'Вид и категорија'!$C$5:$S$5</c:f>
              <c:strCache>
                <c:ptCount val="10"/>
                <c:pt idx="0">
                  <c:v>Големи домашни апарати</c:v>
                </c:pt>
                <c:pt idx="1">
                  <c:v>Мали домашни апарати</c:v>
                </c:pt>
                <c:pt idx="2">
                  <c:v>Опрема за инф. технологии и телекомуникации</c:v>
                </c:pt>
                <c:pt idx="3">
                  <c:v>Опрема за широка потрош. и забавна електр.</c:v>
                </c:pt>
                <c:pt idx="4">
                  <c:v>Опрема за осветлување</c:v>
                </c:pt>
                <c:pt idx="5">
                  <c:v>Електричен и електронски алат</c:v>
                </c:pt>
                <c:pt idx="6">
                  <c:v>ЕЕ играчки и опрема за забава и спорт</c:v>
                </c:pt>
                <c:pt idx="7">
                  <c:v>Медицински апарати</c:v>
                </c:pt>
                <c:pt idx="8">
                  <c:v>Инструменти за следење и контрола</c:v>
                </c:pt>
                <c:pt idx="9">
                  <c:v>Автомати</c:v>
                </c:pt>
              </c:strCache>
            </c:strRef>
          </c:cat>
          <c:val>
            <c:numRef>
              <c:f>'Вид и категорија'!$C$12:$S$12</c:f>
              <c:numCache>
                <c:formatCode>#,##0.00</c:formatCode>
                <c:ptCount val="10"/>
                <c:pt idx="0">
                  <c:v>12368691.439999999</c:v>
                </c:pt>
                <c:pt idx="1">
                  <c:v>837138.29</c:v>
                </c:pt>
                <c:pt idx="2">
                  <c:v>977748.6</c:v>
                </c:pt>
                <c:pt idx="3">
                  <c:v>737263.77</c:v>
                </c:pt>
                <c:pt idx="4">
                  <c:v>72116.91</c:v>
                </c:pt>
                <c:pt idx="5">
                  <c:v>145473.87</c:v>
                </c:pt>
                <c:pt idx="6">
                  <c:v>268745.78999999998</c:v>
                </c:pt>
                <c:pt idx="7">
                  <c:v>76330.240000000005</c:v>
                </c:pt>
                <c:pt idx="8">
                  <c:v>97789.5</c:v>
                </c:pt>
                <c:pt idx="9">
                  <c:v>60462.05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D-48A8-A9A2-566C2A2F5D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42276334206558"/>
          <c:y val="9.7161942450908034E-2"/>
          <c:w val="0.37695560766202119"/>
          <c:h val="0.86250488788011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9</xdr:row>
      <xdr:rowOff>95251</xdr:rowOff>
    </xdr:from>
    <xdr:to>
      <xdr:col>17</xdr:col>
      <xdr:colOff>409575</xdr:colOff>
      <xdr:row>25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2AA06-4652-4F9E-9BCF-DA611CEC1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13</xdr:row>
      <xdr:rowOff>42861</xdr:rowOff>
    </xdr:from>
    <xdr:to>
      <xdr:col>4</xdr:col>
      <xdr:colOff>828674</xdr:colOff>
      <xdr:row>34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7C941B-5ADB-4C8E-A47F-0358043331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1410276</xdr:colOff>
      <xdr:row>18</xdr:row>
      <xdr:rowOff>55801</xdr:rowOff>
    </xdr:from>
    <xdr:to>
      <xdr:col>20</xdr:col>
      <xdr:colOff>122638</xdr:colOff>
      <xdr:row>35</xdr:row>
      <xdr:rowOff>62857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464831</xdr:colOff>
      <xdr:row>40</xdr:row>
      <xdr:rowOff>88802</xdr:rowOff>
    </xdr:from>
    <xdr:to>
      <xdr:col>16</xdr:col>
      <xdr:colOff>464319</xdr:colOff>
      <xdr:row>54</xdr:row>
      <xdr:rowOff>167793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507420</xdr:colOff>
      <xdr:row>18</xdr:row>
      <xdr:rowOff>118915</xdr:rowOff>
    </xdr:from>
    <xdr:to>
      <xdr:col>9</xdr:col>
      <xdr:colOff>243417</xdr:colOff>
      <xdr:row>38</xdr:row>
      <xdr:rowOff>21166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78CEE91-DA36-9E5B-BF4C-FB05957AD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8</xdr:row>
      <xdr:rowOff>33337</xdr:rowOff>
    </xdr:from>
    <xdr:to>
      <xdr:col>10</xdr:col>
      <xdr:colOff>447675</xdr:colOff>
      <xdr:row>24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C3B91-786B-4020-B6EB-3FAB425D4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135210</xdr:colOff>
      <xdr:row>15</xdr:row>
      <xdr:rowOff>104631</xdr:rowOff>
    </xdr:from>
    <xdr:to>
      <xdr:col>16</xdr:col>
      <xdr:colOff>442575</xdr:colOff>
      <xdr:row>40</xdr:row>
      <xdr:rowOff>154148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15986</xdr:colOff>
      <xdr:row>15</xdr:row>
      <xdr:rowOff>20014</xdr:rowOff>
    </xdr:from>
    <xdr:to>
      <xdr:col>32</xdr:col>
      <xdr:colOff>597365</xdr:colOff>
      <xdr:row>40</xdr:row>
      <xdr:rowOff>31972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C22AB5-15E8-4559-8A49-ED323C1BC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4AA6-59DA-4C96-941C-A48512C580E5}">
  <sheetPr>
    <tabColor rgb="FFFF0000"/>
  </sheetPr>
  <dimension ref="B2:J12"/>
  <sheetViews>
    <sheetView tabSelected="1" workbookViewId="0">
      <selection activeCell="F25" sqref="F25"/>
    </sheetView>
  </sheetViews>
  <sheetFormatPr defaultRowHeight="15" x14ac:dyDescent="0.25"/>
  <cols>
    <col min="3" max="3" width="15.85546875" customWidth="1"/>
    <col min="4" max="4" width="12.5703125" customWidth="1"/>
    <col min="5" max="5" width="21.28515625" customWidth="1"/>
    <col min="6" max="6" width="24.42578125" customWidth="1"/>
  </cols>
  <sheetData>
    <row r="2" spans="2:10" ht="93.75" customHeight="1" x14ac:dyDescent="0.25">
      <c r="B2" s="82" t="s">
        <v>40</v>
      </c>
      <c r="C2" s="2" t="s">
        <v>36</v>
      </c>
      <c r="D2" s="2" t="s">
        <v>37</v>
      </c>
      <c r="E2" s="67" t="s">
        <v>50</v>
      </c>
      <c r="F2" s="2" t="s">
        <v>41</v>
      </c>
      <c r="H2" s="92"/>
    </row>
    <row r="3" spans="2:10" x14ac:dyDescent="0.25">
      <c r="B3" s="83"/>
      <c r="C3" s="44" t="s">
        <v>18</v>
      </c>
      <c r="D3" s="44" t="s">
        <v>18</v>
      </c>
      <c r="E3" s="44" t="s">
        <v>18</v>
      </c>
      <c r="F3" s="44" t="s">
        <v>39</v>
      </c>
    </row>
    <row r="4" spans="2:10" x14ac:dyDescent="0.25">
      <c r="B4" s="19">
        <v>2015</v>
      </c>
      <c r="C4" s="46">
        <v>11714.531153599999</v>
      </c>
      <c r="D4" s="46">
        <v>272.05786999999998</v>
      </c>
      <c r="E4" s="46">
        <v>250.71587</v>
      </c>
      <c r="F4" s="20">
        <f t="shared" ref="F4:F11" si="0">E4/D4</f>
        <v>0.92155345478518969</v>
      </c>
    </row>
    <row r="5" spans="2:10" x14ac:dyDescent="0.25">
      <c r="B5" s="19">
        <v>2016</v>
      </c>
      <c r="C5" s="46">
        <v>13062.470803600001</v>
      </c>
      <c r="D5" s="46">
        <v>565.93696</v>
      </c>
      <c r="E5" s="46">
        <v>407.42250000000001</v>
      </c>
      <c r="F5" s="20">
        <f t="shared" si="0"/>
        <v>0.71990792048640895</v>
      </c>
    </row>
    <row r="6" spans="2:10" x14ac:dyDescent="0.25">
      <c r="B6" s="19">
        <v>2017</v>
      </c>
      <c r="C6" s="46">
        <v>13138.4340366</v>
      </c>
      <c r="D6" s="46">
        <v>733.31380000000001</v>
      </c>
      <c r="E6" s="46">
        <v>792.67319999999995</v>
      </c>
      <c r="F6" s="20">
        <f t="shared" si="0"/>
        <v>1.0809467924918363</v>
      </c>
    </row>
    <row r="7" spans="2:10" x14ac:dyDescent="0.25">
      <c r="B7" s="19">
        <v>2018</v>
      </c>
      <c r="C7" s="46">
        <v>9737.0436686999983</v>
      </c>
      <c r="D7" s="46">
        <v>2222.8584000000001</v>
      </c>
      <c r="E7" s="46">
        <v>217.76670000000001</v>
      </c>
      <c r="F7" s="20">
        <f t="shared" si="0"/>
        <v>9.7966969016110073E-2</v>
      </c>
    </row>
    <row r="8" spans="2:10" x14ac:dyDescent="0.25">
      <c r="B8" s="19">
        <v>2019</v>
      </c>
      <c r="C8" s="46">
        <v>12897.979675799999</v>
      </c>
      <c r="D8" s="46">
        <v>2206.6925000000001</v>
      </c>
      <c r="E8" s="46">
        <v>1669.4907000000001</v>
      </c>
      <c r="F8" s="20">
        <f t="shared" si="0"/>
        <v>0.75655792549256407</v>
      </c>
      <c r="J8" t="s">
        <v>58</v>
      </c>
    </row>
    <row r="9" spans="2:10" x14ac:dyDescent="0.25">
      <c r="B9" s="19">
        <v>2020</v>
      </c>
      <c r="C9" s="46">
        <v>15001.35549</v>
      </c>
      <c r="D9" s="46">
        <v>3620.81</v>
      </c>
      <c r="E9" s="46">
        <v>3497.71</v>
      </c>
      <c r="F9" s="20">
        <f t="shared" si="0"/>
        <v>0.96600208240697527</v>
      </c>
    </row>
    <row r="10" spans="2:10" x14ac:dyDescent="0.25">
      <c r="B10" s="19">
        <v>2021</v>
      </c>
      <c r="C10" s="46">
        <v>15641.76</v>
      </c>
      <c r="D10" s="46">
        <v>3227</v>
      </c>
      <c r="E10" s="46">
        <v>2971.97</v>
      </c>
      <c r="F10" s="20">
        <f t="shared" si="0"/>
        <v>0.92096994112178487</v>
      </c>
    </row>
    <row r="11" spans="2:10" x14ac:dyDescent="0.25">
      <c r="B11" s="19">
        <v>2022</v>
      </c>
      <c r="C11" s="46">
        <v>17161.39</v>
      </c>
      <c r="D11" s="46">
        <v>5169.2700000000004</v>
      </c>
      <c r="E11" s="46">
        <v>4724.7700000000004</v>
      </c>
      <c r="F11" s="20">
        <f t="shared" si="0"/>
        <v>0.91401106926123032</v>
      </c>
    </row>
    <row r="12" spans="2:10" x14ac:dyDescent="0.25">
      <c r="B12" s="19">
        <v>2023</v>
      </c>
      <c r="C12" s="46">
        <v>18527.560000000001</v>
      </c>
      <c r="D12" s="46">
        <v>6758.37</v>
      </c>
      <c r="E12" s="46">
        <v>5689.41</v>
      </c>
      <c r="F12" s="20">
        <f>E12/D12</f>
        <v>0.84183168426706434</v>
      </c>
    </row>
  </sheetData>
  <mergeCells count="1">
    <mergeCell ref="B2: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E4B4-5463-4C97-81EC-A514AB4FDD75}">
  <sheetPr>
    <tabColor rgb="FFFF0000"/>
  </sheetPr>
  <dimension ref="B6:H12"/>
  <sheetViews>
    <sheetView topLeftCell="A7" workbookViewId="0">
      <selection activeCell="E13" sqref="E13"/>
    </sheetView>
  </sheetViews>
  <sheetFormatPr defaultRowHeight="15" x14ac:dyDescent="0.25"/>
  <cols>
    <col min="2" max="2" width="21" customWidth="1"/>
    <col min="3" max="3" width="19.5703125" customWidth="1"/>
    <col min="4" max="4" width="26.7109375" customWidth="1"/>
    <col min="5" max="5" width="21.85546875" customWidth="1"/>
    <col min="6" max="6" width="19" customWidth="1"/>
    <col min="7" max="7" width="14.85546875" customWidth="1"/>
    <col min="8" max="8" width="24" customWidth="1"/>
  </cols>
  <sheetData>
    <row r="6" spans="2:8" ht="15.75" x14ac:dyDescent="0.25">
      <c r="B6" s="84" t="s">
        <v>51</v>
      </c>
      <c r="C6" s="85"/>
      <c r="D6" s="85"/>
      <c r="E6" s="85"/>
      <c r="F6" s="85"/>
      <c r="G6" s="85"/>
      <c r="H6" s="85"/>
    </row>
    <row r="7" spans="2:8" ht="99" customHeight="1" x14ac:dyDescent="0.25">
      <c r="B7" s="73" t="s">
        <v>0</v>
      </c>
      <c r="C7" s="74" t="s">
        <v>52</v>
      </c>
      <c r="D7" s="74" t="s">
        <v>53</v>
      </c>
      <c r="E7" s="74" t="s">
        <v>54</v>
      </c>
      <c r="F7" s="74" t="s">
        <v>55</v>
      </c>
      <c r="G7" s="74" t="s">
        <v>56</v>
      </c>
      <c r="H7" s="74" t="s">
        <v>57</v>
      </c>
    </row>
    <row r="8" spans="2:8" ht="17.25" customHeight="1" x14ac:dyDescent="0.25">
      <c r="B8" s="75">
        <v>2022</v>
      </c>
      <c r="C8" s="73">
        <v>5919646.3700000001</v>
      </c>
      <c r="D8" s="73">
        <v>1002797.12</v>
      </c>
      <c r="E8" s="73">
        <v>55192.639999999999</v>
      </c>
      <c r="F8" s="73">
        <v>8158437.4900000002</v>
      </c>
      <c r="G8" s="73">
        <v>1509677.87</v>
      </c>
      <c r="H8" s="73">
        <v>515637.53</v>
      </c>
    </row>
    <row r="9" spans="2:8" ht="15.75" x14ac:dyDescent="0.25">
      <c r="B9" s="75">
        <v>2023</v>
      </c>
      <c r="C9" s="73">
        <v>6568571.1900000004</v>
      </c>
      <c r="D9" s="73">
        <v>1119722.76</v>
      </c>
      <c r="E9" s="73">
        <v>32108.12</v>
      </c>
      <c r="F9" s="73">
        <v>8444082.3800000008</v>
      </c>
      <c r="G9" s="73">
        <v>1787290.3</v>
      </c>
      <c r="H9" s="73">
        <v>575780.64</v>
      </c>
    </row>
    <row r="12" spans="2:8" x14ac:dyDescent="0.25">
      <c r="B12" t="s">
        <v>59</v>
      </c>
    </row>
  </sheetData>
  <mergeCells count="1">
    <mergeCell ref="B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opLeftCell="A16" zoomScale="90" zoomScaleNormal="90" workbookViewId="0">
      <selection activeCell="AA41" sqref="AA41"/>
    </sheetView>
  </sheetViews>
  <sheetFormatPr defaultColWidth="8.85546875" defaultRowHeight="15" x14ac:dyDescent="0.25"/>
  <cols>
    <col min="1" max="1" width="13.42578125" customWidth="1"/>
    <col min="2" max="2" width="13.85546875" customWidth="1"/>
    <col min="3" max="3" width="0.140625" hidden="1" customWidth="1"/>
    <col min="4" max="4" width="13.42578125" customWidth="1"/>
    <col min="5" max="5" width="10.85546875" customWidth="1"/>
    <col min="6" max="6" width="12.7109375" customWidth="1"/>
    <col min="7" max="7" width="12.85546875" customWidth="1"/>
    <col min="8" max="8" width="13.42578125" customWidth="1"/>
    <col min="10" max="10" width="23.42578125" customWidth="1"/>
    <col min="11" max="11" width="13" customWidth="1"/>
    <col min="12" max="14" width="11.7109375" customWidth="1"/>
  </cols>
  <sheetData>
    <row r="1" spans="1:14" ht="18.75" x14ac:dyDescent="0.3">
      <c r="A1" s="24" t="s">
        <v>27</v>
      </c>
    </row>
    <row r="2" spans="1:14" x14ac:dyDescent="0.25">
      <c r="A2" t="s">
        <v>44</v>
      </c>
      <c r="K2" t="s">
        <v>43</v>
      </c>
    </row>
    <row r="4" spans="1:14" ht="20.25" customHeight="1" x14ac:dyDescent="0.25">
      <c r="A4" s="87" t="s">
        <v>19</v>
      </c>
      <c r="B4" s="88"/>
      <c r="C4" s="88"/>
      <c r="D4" s="88"/>
      <c r="E4" s="88"/>
      <c r="F4" s="88"/>
      <c r="G4" s="89"/>
      <c r="K4" s="91" t="s">
        <v>26</v>
      </c>
      <c r="L4" s="91"/>
      <c r="M4" s="91"/>
      <c r="N4" s="91"/>
    </row>
    <row r="5" spans="1:14" ht="59.25" customHeight="1" x14ac:dyDescent="0.3">
      <c r="A5" s="82" t="s">
        <v>40</v>
      </c>
      <c r="B5" s="2" t="s">
        <v>36</v>
      </c>
      <c r="C5" s="2" t="s">
        <v>20</v>
      </c>
      <c r="D5" s="2" t="s">
        <v>37</v>
      </c>
      <c r="E5" s="78" t="s">
        <v>37</v>
      </c>
      <c r="F5" s="67" t="s">
        <v>50</v>
      </c>
      <c r="G5" s="2" t="s">
        <v>41</v>
      </c>
      <c r="H5" s="65"/>
      <c r="K5" s="82" t="s">
        <v>40</v>
      </c>
      <c r="L5" s="2" t="s">
        <v>36</v>
      </c>
      <c r="M5" s="3" t="s">
        <v>37</v>
      </c>
      <c r="N5" s="2" t="s">
        <v>38</v>
      </c>
    </row>
    <row r="6" spans="1:14" ht="17.25" customHeight="1" x14ac:dyDescent="0.25">
      <c r="A6" s="83"/>
      <c r="B6" s="44" t="s">
        <v>18</v>
      </c>
      <c r="C6" s="44" t="s">
        <v>18</v>
      </c>
      <c r="D6" s="44" t="s">
        <v>18</v>
      </c>
      <c r="E6" s="79" t="s">
        <v>39</v>
      </c>
      <c r="F6" s="44" t="s">
        <v>18</v>
      </c>
      <c r="G6" s="44" t="s">
        <v>39</v>
      </c>
      <c r="K6" s="83"/>
      <c r="L6" s="43" t="s">
        <v>39</v>
      </c>
      <c r="M6" s="43" t="s">
        <v>39</v>
      </c>
      <c r="N6" s="43" t="s">
        <v>39</v>
      </c>
    </row>
    <row r="7" spans="1:14" x14ac:dyDescent="0.25">
      <c r="A7" s="19">
        <v>2015</v>
      </c>
      <c r="B7" s="46">
        <v>11714.531153599999</v>
      </c>
      <c r="C7" s="47"/>
      <c r="D7" s="46">
        <v>272.05786999999998</v>
      </c>
      <c r="E7" s="80">
        <f t="shared" ref="E7:E16" si="0">D7/B7</f>
        <v>2.3223965725371238E-2</v>
      </c>
      <c r="F7" s="46">
        <v>250.71587</v>
      </c>
      <c r="G7" s="20">
        <f>F7/D7</f>
        <v>0.92155345478518969</v>
      </c>
      <c r="K7" s="19">
        <v>2015</v>
      </c>
      <c r="L7" s="22">
        <v>1</v>
      </c>
      <c r="M7" s="18">
        <v>2.3223965725371238E-2</v>
      </c>
      <c r="N7" s="20">
        <f>F7/B7</f>
        <v>2.14021258480287E-2</v>
      </c>
    </row>
    <row r="8" spans="1:14" x14ac:dyDescent="0.25">
      <c r="A8" s="19">
        <v>2016</v>
      </c>
      <c r="B8" s="46">
        <v>13062.470803600001</v>
      </c>
      <c r="C8" s="47"/>
      <c r="D8" s="46">
        <v>565.93696</v>
      </c>
      <c r="E8" s="80">
        <f t="shared" si="0"/>
        <v>4.3325414349942776E-2</v>
      </c>
      <c r="F8" s="46">
        <v>407.42250000000001</v>
      </c>
      <c r="G8" s="20">
        <f t="shared" ref="G8:G15" si="1">F8/D8</f>
        <v>0.71990792048640895</v>
      </c>
      <c r="K8" s="19">
        <v>2016</v>
      </c>
      <c r="L8" s="22">
        <v>1</v>
      </c>
      <c r="M8" s="18">
        <v>4.3325414349942776E-2</v>
      </c>
      <c r="N8" s="20">
        <f t="shared" ref="N8:N11" si="2">F8/B8</f>
        <v>3.1190308948879326E-2</v>
      </c>
    </row>
    <row r="9" spans="1:14" x14ac:dyDescent="0.25">
      <c r="A9" s="19">
        <v>2017</v>
      </c>
      <c r="B9" s="46">
        <v>13138.4340366</v>
      </c>
      <c r="C9" s="47"/>
      <c r="D9" s="46">
        <v>733.31380000000001</v>
      </c>
      <c r="E9" s="80">
        <f t="shared" si="0"/>
        <v>5.5814399033948262E-2</v>
      </c>
      <c r="F9" s="46">
        <v>792.67319999999995</v>
      </c>
      <c r="G9" s="20">
        <f t="shared" si="1"/>
        <v>1.0809467924918363</v>
      </c>
      <c r="K9" s="19">
        <v>2017</v>
      </c>
      <c r="L9" s="22">
        <v>1</v>
      </c>
      <c r="M9" s="18">
        <v>5.5814399033948262E-2</v>
      </c>
      <c r="N9" s="20">
        <f t="shared" si="2"/>
        <v>6.033239561060582E-2</v>
      </c>
    </row>
    <row r="10" spans="1:14" x14ac:dyDescent="0.25">
      <c r="A10" s="19">
        <v>2018</v>
      </c>
      <c r="B10" s="46">
        <v>9737.0436686999983</v>
      </c>
      <c r="C10" s="47"/>
      <c r="D10" s="46">
        <v>2222.8584000000001</v>
      </c>
      <c r="E10" s="80">
        <f t="shared" si="0"/>
        <v>0.22828883957308738</v>
      </c>
      <c r="F10" s="46">
        <v>217.76670000000001</v>
      </c>
      <c r="G10" s="20">
        <f t="shared" si="1"/>
        <v>9.7966969016110073E-2</v>
      </c>
      <c r="I10">
        <f>B15/B7</f>
        <v>1.5815878379653536</v>
      </c>
      <c r="K10" s="19">
        <v>2018</v>
      </c>
      <c r="L10" s="22">
        <v>1</v>
      </c>
      <c r="M10" s="18">
        <v>0.22828883957308738</v>
      </c>
      <c r="N10" s="20">
        <f t="shared" si="2"/>
        <v>2.2364765673180374E-2</v>
      </c>
    </row>
    <row r="11" spans="1:14" x14ac:dyDescent="0.25">
      <c r="A11" s="19">
        <v>2019</v>
      </c>
      <c r="B11" s="46">
        <v>12897.979675799999</v>
      </c>
      <c r="C11" s="47"/>
      <c r="D11" s="46">
        <v>2206.6925000000001</v>
      </c>
      <c r="E11" s="80">
        <f t="shared" si="0"/>
        <v>0.17108822896816434</v>
      </c>
      <c r="F11" s="46">
        <v>1669.4907000000001</v>
      </c>
      <c r="G11" s="20">
        <f t="shared" si="1"/>
        <v>0.75655792549256407</v>
      </c>
      <c r="H11" s="1"/>
      <c r="K11" s="19">
        <v>2019</v>
      </c>
      <c r="L11" s="22">
        <v>1</v>
      </c>
      <c r="M11" s="18">
        <v>0.17108822896816434</v>
      </c>
      <c r="N11" s="20">
        <f t="shared" si="2"/>
        <v>0.12943815558435121</v>
      </c>
    </row>
    <row r="12" spans="1:14" x14ac:dyDescent="0.25">
      <c r="A12" s="19">
        <v>2020</v>
      </c>
      <c r="B12" s="46">
        <v>15001.35549</v>
      </c>
      <c r="C12" s="47"/>
      <c r="D12" s="46">
        <v>3620.81</v>
      </c>
      <c r="E12" s="80">
        <f t="shared" si="0"/>
        <v>0.24136552209656356</v>
      </c>
      <c r="F12" s="46">
        <v>3497.71</v>
      </c>
      <c r="G12" s="20">
        <f t="shared" si="1"/>
        <v>0.96600208240697527</v>
      </c>
      <c r="H12" s="1"/>
      <c r="K12" s="19">
        <v>2020</v>
      </c>
      <c r="L12" s="22">
        <v>1</v>
      </c>
      <c r="M12" s="18">
        <f>E12</f>
        <v>0.24136552209656356</v>
      </c>
      <c r="N12" s="20">
        <f t="shared" ref="N12" si="3">F12/B12</f>
        <v>0.23315959696652719</v>
      </c>
    </row>
    <row r="13" spans="1:14" x14ac:dyDescent="0.25">
      <c r="A13" s="19">
        <v>2021</v>
      </c>
      <c r="B13" s="46">
        <v>15641.76</v>
      </c>
      <c r="C13" s="47"/>
      <c r="D13" s="46">
        <v>3227</v>
      </c>
      <c r="E13" s="80">
        <f t="shared" si="0"/>
        <v>0.20630670717361729</v>
      </c>
      <c r="F13" s="46">
        <v>2971.97</v>
      </c>
      <c r="G13" s="20">
        <f t="shared" si="1"/>
        <v>0.92096994112178487</v>
      </c>
      <c r="H13" s="1"/>
      <c r="K13" s="19">
        <v>2021</v>
      </c>
      <c r="L13" s="22">
        <v>1</v>
      </c>
      <c r="M13" s="18">
        <f>E13</f>
        <v>0.20630670717361729</v>
      </c>
      <c r="N13" s="20">
        <f t="shared" ref="N13:N15" si="4">F13/B13</f>
        <v>0.19000227595871563</v>
      </c>
    </row>
    <row r="14" spans="1:14" x14ac:dyDescent="0.25">
      <c r="A14" s="19">
        <v>2022</v>
      </c>
      <c r="B14" s="46">
        <v>17161.39</v>
      </c>
      <c r="C14" s="47"/>
      <c r="D14" s="46">
        <v>5169.2700000000004</v>
      </c>
      <c r="E14" s="80">
        <f t="shared" si="0"/>
        <v>0.30121511136335699</v>
      </c>
      <c r="F14" s="46">
        <v>4724.7700000000004</v>
      </c>
      <c r="G14" s="20">
        <f t="shared" si="1"/>
        <v>0.91401106926123032</v>
      </c>
      <c r="H14" s="1"/>
      <c r="K14" s="19">
        <v>2022</v>
      </c>
      <c r="L14" s="64"/>
      <c r="M14" s="18"/>
      <c r="N14" s="20">
        <f t="shared" si="4"/>
        <v>0.27531394601486248</v>
      </c>
    </row>
    <row r="15" spans="1:14" x14ac:dyDescent="0.25">
      <c r="A15" s="19">
        <v>2023</v>
      </c>
      <c r="B15" s="46">
        <v>18527.560000000001</v>
      </c>
      <c r="C15" s="47"/>
      <c r="D15" s="46">
        <v>6758.37</v>
      </c>
      <c r="E15" s="80"/>
      <c r="F15" s="46">
        <v>5689.41</v>
      </c>
      <c r="G15" s="20">
        <f t="shared" si="1"/>
        <v>0.84183168426706434</v>
      </c>
      <c r="H15" s="1"/>
      <c r="I15">
        <f>D15/D7</f>
        <v>24.841663282889044</v>
      </c>
      <c r="K15" s="19">
        <v>2023</v>
      </c>
      <c r="L15" s="64"/>
      <c r="M15" s="18"/>
      <c r="N15" s="20">
        <f t="shared" si="4"/>
        <v>0.30707821213370778</v>
      </c>
    </row>
    <row r="16" spans="1:14" x14ac:dyDescent="0.25">
      <c r="A16" s="21" t="s">
        <v>12</v>
      </c>
      <c r="B16" s="76">
        <f>SUM(B7:B14)</f>
        <v>108354.96482829998</v>
      </c>
      <c r="C16" s="76"/>
      <c r="D16" s="76">
        <f>SUM(D7:D13)</f>
        <v>12848.669529999999</v>
      </c>
      <c r="E16" s="81">
        <f t="shared" si="0"/>
        <v>0.11857942596686814</v>
      </c>
      <c r="F16" s="76">
        <f>SUM(F7:F15)</f>
        <v>20221.928970000001</v>
      </c>
      <c r="G16" s="77">
        <f>F16/D16</f>
        <v>1.5738539249363044</v>
      </c>
    </row>
    <row r="17" spans="4:9" x14ac:dyDescent="0.25">
      <c r="D17" s="63">
        <f>D13/D7</f>
        <v>11.861446978174166</v>
      </c>
      <c r="I17">
        <f>F15/F7</f>
        <v>22.692660021880545</v>
      </c>
    </row>
    <row r="18" spans="4:9" x14ac:dyDescent="0.25">
      <c r="E18" s="23"/>
    </row>
    <row r="41" spans="1:6" ht="15.75" x14ac:dyDescent="0.25">
      <c r="A41" s="86" t="s">
        <v>48</v>
      </c>
      <c r="B41" s="86"/>
      <c r="C41" s="86"/>
      <c r="D41" s="86"/>
      <c r="E41" s="86"/>
      <c r="F41" s="54"/>
    </row>
    <row r="42" spans="1:6" x14ac:dyDescent="0.25">
      <c r="A42" s="54"/>
      <c r="B42" s="54"/>
      <c r="C42" s="54"/>
      <c r="D42" s="54"/>
      <c r="E42" s="54"/>
      <c r="F42" s="54"/>
    </row>
    <row r="43" spans="1:6" x14ac:dyDescent="0.25">
      <c r="A43" s="90" t="s">
        <v>25</v>
      </c>
      <c r="B43" s="90"/>
      <c r="C43" s="90"/>
      <c r="D43" s="90"/>
      <c r="E43" s="90"/>
      <c r="F43" s="90"/>
    </row>
    <row r="44" spans="1:6" ht="60" x14ac:dyDescent="0.25">
      <c r="A44" s="55" t="s">
        <v>0</v>
      </c>
      <c r="B44" s="56" t="s">
        <v>24</v>
      </c>
      <c r="C44" s="56"/>
      <c r="D44" s="57" t="s">
        <v>13</v>
      </c>
      <c r="E44" s="55" t="s">
        <v>16</v>
      </c>
      <c r="F44" s="55" t="s">
        <v>17</v>
      </c>
    </row>
    <row r="45" spans="1:6" ht="15.75" x14ac:dyDescent="0.25">
      <c r="A45" s="58" t="s">
        <v>21</v>
      </c>
      <c r="B45" s="59">
        <v>2071278</v>
      </c>
      <c r="C45" s="59"/>
      <c r="D45" s="57">
        <f>D7*1000</f>
        <v>272057.87</v>
      </c>
      <c r="E45" s="60">
        <f t="shared" ref="E45:E47" si="5">D45/B45</f>
        <v>0.13134782969741388</v>
      </c>
      <c r="F45" s="61">
        <v>4</v>
      </c>
    </row>
    <row r="46" spans="1:6" ht="15.75" x14ac:dyDescent="0.25">
      <c r="A46" s="58" t="s">
        <v>22</v>
      </c>
      <c r="B46" s="59">
        <v>2073702</v>
      </c>
      <c r="C46" s="59"/>
      <c r="D46" s="57">
        <f t="shared" ref="D46:D50" si="6">D8*1000</f>
        <v>565936.96</v>
      </c>
      <c r="E46" s="60">
        <f t="shared" si="5"/>
        <v>0.27291142121674183</v>
      </c>
      <c r="F46" s="61">
        <v>4</v>
      </c>
    </row>
    <row r="47" spans="1:6" ht="15.75" x14ac:dyDescent="0.25">
      <c r="A47" s="58" t="s">
        <v>23</v>
      </c>
      <c r="B47" s="59">
        <v>2075301</v>
      </c>
      <c r="C47" s="59"/>
      <c r="D47" s="57">
        <f t="shared" si="6"/>
        <v>733313.8</v>
      </c>
      <c r="E47" s="60">
        <f t="shared" si="5"/>
        <v>0.35335298349492439</v>
      </c>
      <c r="F47" s="61">
        <v>4</v>
      </c>
    </row>
    <row r="48" spans="1:6" ht="15.75" x14ac:dyDescent="0.25">
      <c r="A48" s="58" t="s">
        <v>14</v>
      </c>
      <c r="B48" s="62">
        <v>2077132</v>
      </c>
      <c r="C48" s="62"/>
      <c r="D48" s="57">
        <f t="shared" si="6"/>
        <v>2222858.4</v>
      </c>
      <c r="E48" s="60">
        <f>D48/B48</f>
        <v>1.0701575056375809</v>
      </c>
      <c r="F48" s="61">
        <v>4</v>
      </c>
    </row>
    <row r="49" spans="1:8" ht="15.75" x14ac:dyDescent="0.25">
      <c r="A49" s="58" t="s">
        <v>15</v>
      </c>
      <c r="B49" s="62">
        <v>2076255</v>
      </c>
      <c r="C49" s="62"/>
      <c r="D49" s="57">
        <f t="shared" si="6"/>
        <v>2206692.5</v>
      </c>
      <c r="E49" s="60">
        <f>D49/B49</f>
        <v>1.0628234489501531</v>
      </c>
      <c r="F49" s="61">
        <v>4</v>
      </c>
      <c r="H49" s="16"/>
    </row>
    <row r="50" spans="1:8" ht="15.75" x14ac:dyDescent="0.25">
      <c r="A50" s="58" t="s">
        <v>46</v>
      </c>
      <c r="B50" s="62">
        <v>2068808</v>
      </c>
      <c r="C50" s="62"/>
      <c r="D50" s="57">
        <f t="shared" si="6"/>
        <v>3620810</v>
      </c>
      <c r="E50" s="60">
        <f>D50/B50</f>
        <v>1.7501914145730295</v>
      </c>
      <c r="F50" s="61">
        <v>4</v>
      </c>
    </row>
    <row r="53" spans="1:8" x14ac:dyDescent="0.25">
      <c r="A53" s="53" t="s">
        <v>49</v>
      </c>
    </row>
    <row r="71" spans="1:1" x14ac:dyDescent="0.25">
      <c r="A71" s="45" t="s">
        <v>42</v>
      </c>
    </row>
  </sheetData>
  <mergeCells count="6">
    <mergeCell ref="A41:E41"/>
    <mergeCell ref="A4:G4"/>
    <mergeCell ref="A43:F43"/>
    <mergeCell ref="K4:N4"/>
    <mergeCell ref="A5:A6"/>
    <mergeCell ref="K5:K6"/>
  </mergeCells>
  <phoneticPr fontId="11" type="noConversion"/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13"/>
  <sheetViews>
    <sheetView workbookViewId="0">
      <selection activeCell="E41" sqref="E41"/>
    </sheetView>
  </sheetViews>
  <sheetFormatPr defaultColWidth="8.85546875" defaultRowHeight="15" x14ac:dyDescent="0.25"/>
  <cols>
    <col min="3" max="3" width="56.5703125" customWidth="1"/>
    <col min="4" max="4" width="11.85546875" customWidth="1"/>
    <col min="5" max="5" width="29.5703125" customWidth="1"/>
    <col min="6" max="6" width="14" customWidth="1"/>
    <col min="7" max="7" width="25.85546875" customWidth="1"/>
  </cols>
  <sheetData>
    <row r="3" spans="2:4" ht="57" customHeight="1" x14ac:dyDescent="0.25">
      <c r="B3" s="82" t="s">
        <v>40</v>
      </c>
      <c r="C3" s="72" t="s">
        <v>36</v>
      </c>
      <c r="D3" s="66"/>
    </row>
    <row r="4" spans="2:4" x14ac:dyDescent="0.25">
      <c r="B4" s="83"/>
      <c r="C4" s="44" t="s">
        <v>18</v>
      </c>
    </row>
    <row r="5" spans="2:4" x14ac:dyDescent="0.25">
      <c r="B5" s="19">
        <v>2015</v>
      </c>
      <c r="C5" s="46">
        <v>11714.531153599999</v>
      </c>
    </row>
    <row r="6" spans="2:4" x14ac:dyDescent="0.25">
      <c r="B6" s="19">
        <v>2016</v>
      </c>
      <c r="C6" s="46">
        <v>13062.470803600001</v>
      </c>
    </row>
    <row r="7" spans="2:4" x14ac:dyDescent="0.25">
      <c r="B7" s="19">
        <v>2017</v>
      </c>
      <c r="C7" s="46">
        <v>13138.4340366</v>
      </c>
    </row>
    <row r="8" spans="2:4" x14ac:dyDescent="0.25">
      <c r="B8" s="19">
        <v>2018</v>
      </c>
      <c r="C8" s="46">
        <v>9737.0436686999983</v>
      </c>
    </row>
    <row r="9" spans="2:4" x14ac:dyDescent="0.25">
      <c r="B9" s="19">
        <v>2019</v>
      </c>
      <c r="C9" s="46">
        <v>12897.979675799999</v>
      </c>
    </row>
    <row r="10" spans="2:4" x14ac:dyDescent="0.25">
      <c r="B10" s="19">
        <v>2020</v>
      </c>
      <c r="C10" s="46">
        <v>15001.35549</v>
      </c>
    </row>
    <row r="11" spans="2:4" x14ac:dyDescent="0.25">
      <c r="B11" s="19">
        <v>2021</v>
      </c>
      <c r="C11" s="46">
        <v>15641.76</v>
      </c>
    </row>
    <row r="12" spans="2:4" x14ac:dyDescent="0.25">
      <c r="B12" s="19">
        <v>2022</v>
      </c>
      <c r="C12" s="46">
        <v>17161.39</v>
      </c>
    </row>
    <row r="13" spans="2:4" x14ac:dyDescent="0.25">
      <c r="B13" s="19">
        <v>2023</v>
      </c>
      <c r="C13" s="46">
        <v>18527.560000000001</v>
      </c>
    </row>
  </sheetData>
  <mergeCells count="1">
    <mergeCell ref="B3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topLeftCell="A3" zoomScale="80" zoomScaleNormal="80" workbookViewId="0">
      <selection activeCell="S33" sqref="S33"/>
    </sheetView>
  </sheetViews>
  <sheetFormatPr defaultColWidth="8.85546875" defaultRowHeight="15" x14ac:dyDescent="0.25"/>
  <cols>
    <col min="1" max="1" width="11.5703125" customWidth="1"/>
    <col min="2" max="2" width="16.7109375" hidden="1" customWidth="1"/>
    <col min="3" max="3" width="21.140625" customWidth="1"/>
    <col min="4" max="4" width="13.28515625" style="4" hidden="1" customWidth="1"/>
    <col min="5" max="5" width="18.28515625" style="4" customWidth="1"/>
    <col min="6" max="6" width="17.28515625" hidden="1" customWidth="1"/>
    <col min="7" max="7" width="16.85546875" customWidth="1"/>
    <col min="8" max="8" width="9.85546875" hidden="1" customWidth="1"/>
    <col min="9" max="9" width="12.140625" hidden="1" customWidth="1"/>
    <col min="10" max="10" width="16.42578125" customWidth="1"/>
    <col min="11" max="11" width="16" hidden="1" customWidth="1"/>
    <col min="12" max="12" width="19" hidden="1" customWidth="1"/>
    <col min="13" max="13" width="19" customWidth="1"/>
    <col min="14" max="14" width="17.5703125" hidden="1" customWidth="1"/>
    <col min="15" max="18" width="23.42578125" customWidth="1"/>
    <col min="19" max="19" width="19" customWidth="1"/>
    <col min="20" max="20" width="22.42578125" customWidth="1"/>
    <col min="21" max="21" width="12.7109375" bestFit="1" customWidth="1"/>
  </cols>
  <sheetData>
    <row r="1" spans="1:21" ht="18.75" x14ac:dyDescent="0.3">
      <c r="A1" s="24" t="s">
        <v>28</v>
      </c>
    </row>
    <row r="3" spans="1:21" x14ac:dyDescent="0.25">
      <c r="A3" t="s">
        <v>47</v>
      </c>
    </row>
    <row r="4" spans="1:21" s="5" customFormat="1" ht="15.75" x14ac:dyDescent="0.25">
      <c r="A4" s="12"/>
      <c r="B4" s="6"/>
      <c r="D4" s="7"/>
      <c r="E4" s="7"/>
    </row>
    <row r="5" spans="1:21" s="8" customFormat="1" ht="87" customHeight="1" x14ac:dyDescent="0.25">
      <c r="A5" s="9" t="s">
        <v>0</v>
      </c>
      <c r="B5" s="9" t="s">
        <v>1</v>
      </c>
      <c r="C5" s="9" t="s">
        <v>1</v>
      </c>
      <c r="D5" s="11" t="s">
        <v>2</v>
      </c>
      <c r="E5" s="9" t="s">
        <v>3</v>
      </c>
      <c r="F5" s="9" t="s">
        <v>30</v>
      </c>
      <c r="G5" s="9" t="s">
        <v>34</v>
      </c>
      <c r="H5" s="11" t="s">
        <v>4</v>
      </c>
      <c r="I5" s="9" t="s">
        <v>31</v>
      </c>
      <c r="J5" s="9" t="s">
        <v>33</v>
      </c>
      <c r="K5" s="11" t="s">
        <v>5</v>
      </c>
      <c r="L5" s="9" t="s">
        <v>11</v>
      </c>
      <c r="M5" s="9" t="s">
        <v>11</v>
      </c>
      <c r="N5" s="11" t="s">
        <v>6</v>
      </c>
      <c r="O5" s="9" t="s">
        <v>7</v>
      </c>
      <c r="P5" s="9" t="s">
        <v>32</v>
      </c>
      <c r="Q5" s="9" t="s">
        <v>8</v>
      </c>
      <c r="R5" s="9" t="s">
        <v>9</v>
      </c>
      <c r="S5" s="9" t="s">
        <v>10</v>
      </c>
      <c r="T5" s="11" t="s">
        <v>45</v>
      </c>
    </row>
    <row r="6" spans="1:21" s="8" customFormat="1" ht="13.7" customHeight="1" x14ac:dyDescent="0.25">
      <c r="A6" s="26">
        <v>2015</v>
      </c>
      <c r="B6" s="27">
        <f>4387987.59+2715854.021+1536452.622</f>
        <v>8640294.2329999991</v>
      </c>
      <c r="C6" s="27">
        <f>B6+D6</f>
        <v>9299356.152999999</v>
      </c>
      <c r="D6" s="31">
        <v>659061.92000000004</v>
      </c>
      <c r="E6" s="32">
        <f>289423.09+230726.049+100656.2875</f>
        <v>620805.42650000006</v>
      </c>
      <c r="F6" s="31">
        <f>9699.89+128955.382+227389.7707</f>
        <v>366045.04269999999</v>
      </c>
      <c r="G6" s="31">
        <f>F6+H6</f>
        <v>383938.72269999998</v>
      </c>
      <c r="H6" s="31">
        <v>17893.68</v>
      </c>
      <c r="I6" s="31">
        <f>792901.81+115568.669+58193.624</f>
        <v>966664.103</v>
      </c>
      <c r="J6" s="31">
        <f>I6+K6</f>
        <v>1093992.773</v>
      </c>
      <c r="K6" s="31">
        <f>127328.67</f>
        <v>127328.67</v>
      </c>
      <c r="L6" s="31">
        <f>2362.35+1617.156+17971.272</f>
        <v>21950.778000000002</v>
      </c>
      <c r="M6" s="31">
        <f t="shared" ref="M6:M12" si="0">L6+N6</f>
        <v>24124.171000000002</v>
      </c>
      <c r="N6" s="31">
        <f>2173.393</f>
        <v>2173.393</v>
      </c>
      <c r="O6" s="31">
        <f>24530+15899.404</f>
        <v>40429.404000000002</v>
      </c>
      <c r="P6" s="31">
        <f>176+57+72502.55</f>
        <v>72735.55</v>
      </c>
      <c r="Q6" s="31">
        <f>23957.4824</f>
        <v>23957.482400000001</v>
      </c>
      <c r="R6" s="31">
        <f>34.99+50389.215</f>
        <v>50424.204999999994</v>
      </c>
      <c r="S6" s="31">
        <f>104767.246</f>
        <v>104767.246</v>
      </c>
      <c r="T6" s="28">
        <f>Вк.количини!B7*1000</f>
        <v>11714531.1536</v>
      </c>
    </row>
    <row r="7" spans="1:21" s="8" customFormat="1" ht="14.25" customHeight="1" x14ac:dyDescent="0.25">
      <c r="A7" s="10">
        <v>2016</v>
      </c>
      <c r="B7" s="27">
        <f>5279823.4+3117883.48+1259914.416</f>
        <v>9657621.2960000001</v>
      </c>
      <c r="C7" s="27">
        <f t="shared" ref="C7:C11" si="1">B7+D7</f>
        <v>10723741.079</v>
      </c>
      <c r="D7" s="31">
        <v>1066119.7830000001</v>
      </c>
      <c r="E7" s="32">
        <f>372254.27+191660.174+144027.1297</f>
        <v>707941.57370000007</v>
      </c>
      <c r="F7" s="31">
        <f>17213.7+115452.761+328856.816</f>
        <v>461523.277</v>
      </c>
      <c r="G7" s="31">
        <f t="shared" ref="G7:G12" si="2">F7+H7</f>
        <v>481094.25300000003</v>
      </c>
      <c r="H7" s="31">
        <f>19570.976</f>
        <v>19570.975999999999</v>
      </c>
      <c r="I7" s="31">
        <f>525925+8894.117+49040.6544</f>
        <v>583859.77139999997</v>
      </c>
      <c r="J7" s="31">
        <f t="shared" ref="J7:J12" si="3">I7+K7</f>
        <v>665294.40139999997</v>
      </c>
      <c r="K7" s="31">
        <v>81434.63</v>
      </c>
      <c r="L7" s="31">
        <v>22333.9696</v>
      </c>
      <c r="M7" s="31">
        <f t="shared" si="0"/>
        <v>23967.7726</v>
      </c>
      <c r="N7" s="31">
        <v>1633.8030000000001</v>
      </c>
      <c r="O7" s="31">
        <f>7270.05+20312.25+28786.9996</f>
        <v>56369.299599999998</v>
      </c>
      <c r="P7" s="31">
        <f>49.6+161191.12</f>
        <v>161240.72</v>
      </c>
      <c r="Q7" s="31">
        <f>11762.2533</f>
        <v>11762.2533</v>
      </c>
      <c r="R7" s="31">
        <f>147609.02</f>
        <v>147609.01999999999</v>
      </c>
      <c r="S7" s="31">
        <v>83450.429999999993</v>
      </c>
      <c r="T7" s="28">
        <f>Вк.количини!B8*1000</f>
        <v>13062470.8036</v>
      </c>
    </row>
    <row r="8" spans="1:21" s="8" customFormat="1" ht="14.25" customHeight="1" x14ac:dyDescent="0.25">
      <c r="A8" s="30">
        <v>2017</v>
      </c>
      <c r="B8" s="27">
        <f>4348839.61+3229203.367+1527278.264</f>
        <v>9105321.2410000004</v>
      </c>
      <c r="C8" s="27">
        <f t="shared" si="1"/>
        <v>10749494.471000001</v>
      </c>
      <c r="D8" s="31">
        <f>1644173.23</f>
        <v>1644173.23</v>
      </c>
      <c r="E8" s="31">
        <f>548306.28+240771.979+143136.7098</f>
        <v>932214.96880000015</v>
      </c>
      <c r="F8" s="31">
        <f>23907.12+101088.48+290564.9197</f>
        <v>415560.5197</v>
      </c>
      <c r="G8" s="31">
        <f t="shared" si="2"/>
        <v>436555.24969999999</v>
      </c>
      <c r="H8" s="31">
        <v>20994.73</v>
      </c>
      <c r="I8" s="31">
        <f>404088.97+69140.733+47567.457</f>
        <v>520797.16</v>
      </c>
      <c r="J8" s="31">
        <f t="shared" si="3"/>
        <v>590984.04999999993</v>
      </c>
      <c r="K8" s="31">
        <f>70186.89</f>
        <v>70186.89</v>
      </c>
      <c r="L8" s="31">
        <f>45527.6604999999</f>
        <v>45527.660499999904</v>
      </c>
      <c r="M8" s="31">
        <f t="shared" si="0"/>
        <v>48442.698099999907</v>
      </c>
      <c r="N8" s="31">
        <f>2915.0376</f>
        <v>2915.0376000000001</v>
      </c>
      <c r="O8" s="31">
        <f>10.97+37350.55+53518.3342</f>
        <v>90879.854200000002</v>
      </c>
      <c r="P8" s="31">
        <f>136.8+42971.99</f>
        <v>43108.79</v>
      </c>
      <c r="Q8" s="31">
        <f>10641.377</f>
        <v>10641.377</v>
      </c>
      <c r="R8" s="31">
        <f>164.422+209601.377</f>
        <v>209765.799</v>
      </c>
      <c r="S8" s="31">
        <f>26347.056</f>
        <v>26347.056</v>
      </c>
      <c r="T8" s="28">
        <f>Вк.количини!B9*1000</f>
        <v>13138434.036599999</v>
      </c>
    </row>
    <row r="9" spans="1:21" s="5" customFormat="1" ht="15.75" x14ac:dyDescent="0.25">
      <c r="A9" s="10">
        <v>2018</v>
      </c>
      <c r="B9" s="29">
        <f>250451.5+338102.31+2998721.807+1735334.0083</f>
        <v>5322609.6253000004</v>
      </c>
      <c r="C9" s="27">
        <f t="shared" si="1"/>
        <v>7428070.4783000005</v>
      </c>
      <c r="D9" s="25">
        <f>2105460.853</f>
        <v>2105460.8530000001</v>
      </c>
      <c r="E9" s="25">
        <f>45693.35+39848.74+212872.842+169314.0124</f>
        <v>467728.94440000004</v>
      </c>
      <c r="F9" s="25">
        <f>1171.77+237875.6+57499.653+292915.584</f>
        <v>589462.60699999996</v>
      </c>
      <c r="G9" s="31">
        <f t="shared" si="2"/>
        <v>640388.06199999992</v>
      </c>
      <c r="H9" s="25">
        <f>28993.82+21931.635</f>
        <v>50925.455000000002</v>
      </c>
      <c r="I9" s="25">
        <f>27785.06+20613.54+79534.014+54437.2495</f>
        <v>182369.86350000001</v>
      </c>
      <c r="J9" s="31">
        <f t="shared" si="3"/>
        <v>368178.77650000004</v>
      </c>
      <c r="K9" s="25">
        <f>110368+75440.913</f>
        <v>185808.913</v>
      </c>
      <c r="L9" s="25">
        <f>25498.02+5286.67+46832.924</f>
        <v>77617.614000000001</v>
      </c>
      <c r="M9" s="31">
        <f t="shared" si="0"/>
        <v>105511.91250000001</v>
      </c>
      <c r="N9" s="25">
        <f>21436.17+6458.1285</f>
        <v>27894.298499999997</v>
      </c>
      <c r="O9" s="25">
        <f>124449.86+20926.13+37102.1331</f>
        <v>182478.1231</v>
      </c>
      <c r="P9" s="25">
        <f>10326.84+105426.13</f>
        <v>115752.97</v>
      </c>
      <c r="Q9" s="25">
        <f>10514.71+15311.6227</f>
        <v>25826.332699999999</v>
      </c>
      <c r="R9" s="25">
        <f>1978.43+310.86+231531.722</f>
        <v>233821.01200000002</v>
      </c>
      <c r="S9" s="25">
        <f>266+63421.0672</f>
        <v>63687.067199999998</v>
      </c>
      <c r="T9" s="28">
        <f>Вк.количини!B10*1000</f>
        <v>9737043.6686999984</v>
      </c>
    </row>
    <row r="10" spans="1:21" s="5" customFormat="1" ht="15.75" x14ac:dyDescent="0.25">
      <c r="A10" s="30">
        <v>2019</v>
      </c>
      <c r="B10" s="25">
        <v>8064229.2630000003</v>
      </c>
      <c r="C10" s="27">
        <f t="shared" si="1"/>
        <v>10359052.913000001</v>
      </c>
      <c r="D10" s="25">
        <v>2294823.65</v>
      </c>
      <c r="E10" s="25">
        <v>585167.81000000006</v>
      </c>
      <c r="F10" s="25">
        <v>651362.53009999997</v>
      </c>
      <c r="G10" s="31">
        <f t="shared" si="2"/>
        <v>693947.09210000001</v>
      </c>
      <c r="H10" s="25">
        <v>42584.561999999998</v>
      </c>
      <c r="I10" s="25">
        <v>398622.08199999999</v>
      </c>
      <c r="J10" s="31">
        <f t="shared" si="3"/>
        <v>547780.04200000002</v>
      </c>
      <c r="K10" s="25">
        <v>149157.96</v>
      </c>
      <c r="L10" s="25">
        <v>68270.982699999993</v>
      </c>
      <c r="M10" s="31">
        <f t="shared" si="0"/>
        <v>96211.752699999997</v>
      </c>
      <c r="N10" s="25">
        <v>27940.77</v>
      </c>
      <c r="O10" s="25">
        <v>180766.35190000001</v>
      </c>
      <c r="P10" s="25">
        <v>142155.21</v>
      </c>
      <c r="Q10" s="25">
        <v>28507.920000000002</v>
      </c>
      <c r="R10" s="25">
        <v>188166.3873</v>
      </c>
      <c r="S10" s="25">
        <v>76224.196800000005</v>
      </c>
      <c r="T10" s="28">
        <f>Вк.количини!B11*1000</f>
        <v>12897979.675799999</v>
      </c>
    </row>
    <row r="11" spans="1:21" s="5" customFormat="1" ht="15.75" x14ac:dyDescent="0.25">
      <c r="A11" s="30">
        <v>2020</v>
      </c>
      <c r="B11" s="49">
        <v>9531840.2559999991</v>
      </c>
      <c r="C11" s="27">
        <f t="shared" si="1"/>
        <v>11829022.215999998</v>
      </c>
      <c r="D11" s="25">
        <v>2297181.96</v>
      </c>
      <c r="E11" s="25">
        <v>960694.15700000001</v>
      </c>
      <c r="F11" s="25">
        <v>619724.26699999999</v>
      </c>
      <c r="G11" s="31">
        <f t="shared" si="2"/>
        <v>683771.55700000003</v>
      </c>
      <c r="H11" s="25">
        <v>64047.29</v>
      </c>
      <c r="I11" s="25">
        <v>662120.68599999999</v>
      </c>
      <c r="J11" s="31">
        <f t="shared" si="3"/>
        <v>826137.46600000001</v>
      </c>
      <c r="K11" s="25">
        <v>164016.78</v>
      </c>
      <c r="L11" s="25">
        <v>78114.543000000005</v>
      </c>
      <c r="M11" s="31">
        <f t="shared" si="0"/>
        <v>90056.118000000002</v>
      </c>
      <c r="N11" s="25">
        <v>11941.575000000001</v>
      </c>
      <c r="O11" s="25">
        <v>131112.49799999999</v>
      </c>
      <c r="P11" s="25">
        <v>191074.37</v>
      </c>
      <c r="Q11" s="25">
        <v>34944.28</v>
      </c>
      <c r="R11" s="25">
        <v>179120.329</v>
      </c>
      <c r="S11" s="25">
        <v>75422.495999999999</v>
      </c>
      <c r="T11" s="28">
        <f>Вк.количини!B12*1000</f>
        <v>15001355.49</v>
      </c>
      <c r="U11" s="52"/>
    </row>
    <row r="12" spans="1:21" s="5" customFormat="1" ht="15.75" x14ac:dyDescent="0.25">
      <c r="A12" s="30">
        <v>2021</v>
      </c>
      <c r="B12" s="49">
        <v>9759194.0999999996</v>
      </c>
      <c r="C12" s="29">
        <f>B12+D12</f>
        <v>12368691.439999999</v>
      </c>
      <c r="D12" s="27">
        <v>2609497.34</v>
      </c>
      <c r="E12" s="25">
        <v>837138.29</v>
      </c>
      <c r="F12" s="25">
        <v>913610.57</v>
      </c>
      <c r="G12" s="31">
        <f t="shared" si="2"/>
        <v>977748.6</v>
      </c>
      <c r="H12" s="25">
        <v>64138.03</v>
      </c>
      <c r="I12" s="25">
        <v>562140.29</v>
      </c>
      <c r="J12" s="31">
        <f t="shared" si="3"/>
        <v>737263.77</v>
      </c>
      <c r="K12" s="25">
        <v>175123.48</v>
      </c>
      <c r="L12" s="25">
        <v>66255.75</v>
      </c>
      <c r="M12" s="31">
        <f t="shared" si="0"/>
        <v>72116.91</v>
      </c>
      <c r="N12" s="25">
        <v>5861.16</v>
      </c>
      <c r="O12" s="25">
        <v>145473.87</v>
      </c>
      <c r="P12" s="25">
        <v>268745.78999999998</v>
      </c>
      <c r="Q12" s="25">
        <v>76330.240000000005</v>
      </c>
      <c r="R12" s="25">
        <v>97789.5</v>
      </c>
      <c r="S12" s="25">
        <v>60462.05</v>
      </c>
      <c r="T12" s="28">
        <f>Вк.количини!B13*1000</f>
        <v>15641760</v>
      </c>
      <c r="U12" s="52"/>
    </row>
    <row r="13" spans="1:21" s="5" customFormat="1" ht="15.75" x14ac:dyDescent="0.25">
      <c r="A13" s="68"/>
      <c r="B13" s="1"/>
      <c r="C13" s="52"/>
      <c r="D13" s="69"/>
      <c r="E13" s="70"/>
      <c r="F13" s="70"/>
      <c r="G13" s="71"/>
      <c r="H13" s="70"/>
      <c r="I13" s="70"/>
      <c r="J13" s="71"/>
      <c r="K13" s="70"/>
      <c r="L13" s="70"/>
      <c r="M13" s="71"/>
      <c r="N13" s="70"/>
      <c r="O13" s="70"/>
      <c r="P13" s="70"/>
      <c r="Q13" s="70"/>
      <c r="R13" s="70"/>
      <c r="S13" s="70"/>
      <c r="T13" s="41"/>
      <c r="U13" s="52"/>
    </row>
    <row r="14" spans="1:21" s="5" customFormat="1" ht="15.75" x14ac:dyDescent="0.25">
      <c r="A14" s="68"/>
      <c r="B14" s="1"/>
      <c r="C14" s="52"/>
      <c r="D14" s="69"/>
      <c r="E14" s="70"/>
      <c r="F14" s="70"/>
      <c r="G14" s="71"/>
      <c r="H14" s="70"/>
      <c r="I14" s="70"/>
      <c r="J14" s="71"/>
      <c r="K14" s="70"/>
      <c r="L14" s="70"/>
      <c r="M14" s="71"/>
      <c r="N14" s="70"/>
      <c r="O14" s="70"/>
      <c r="P14" s="70"/>
      <c r="Q14" s="70"/>
      <c r="R14" s="70"/>
      <c r="S14" s="70"/>
      <c r="T14" s="41"/>
      <c r="U14" s="52"/>
    </row>
    <row r="15" spans="1:21" s="5" customFormat="1" ht="15.75" x14ac:dyDescent="0.25">
      <c r="A15" s="37"/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4"/>
    </row>
    <row r="16" spans="1:21" s="5" customFormat="1" ht="15.7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</row>
    <row r="17" spans="1:20" s="5" customFormat="1" ht="15.75" x14ac:dyDescent="0.25">
      <c r="B17"/>
      <c r="C17" s="1"/>
      <c r="D17" s="4"/>
      <c r="E17" s="4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5" customFormat="1" ht="15.75" x14ac:dyDescent="0.25">
      <c r="B18"/>
      <c r="C18"/>
      <c r="D18" s="4"/>
      <c r="E18" s="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5" customFormat="1" ht="15.75" x14ac:dyDescent="0.25">
      <c r="B19"/>
      <c r="D19" s="4"/>
      <c r="E19" s="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5" customFormat="1" ht="15.75" x14ac:dyDescent="0.25">
      <c r="B20"/>
      <c r="C20"/>
      <c r="D20" s="4"/>
      <c r="E20" s="4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5" customFormat="1" ht="15.75" x14ac:dyDescent="0.25">
      <c r="B21"/>
      <c r="C21"/>
      <c r="D21" s="4"/>
      <c r="E21" s="4"/>
      <c r="F21"/>
      <c r="G21"/>
      <c r="H21"/>
      <c r="I21"/>
      <c r="J21"/>
      <c r="K21"/>
      <c r="L21"/>
      <c r="M21"/>
      <c r="N21"/>
      <c r="O21"/>
      <c r="P21"/>
      <c r="Q21"/>
      <c r="R21"/>
      <c r="S21" s="1"/>
      <c r="T21"/>
    </row>
    <row r="22" spans="1:20" s="5" customFormat="1" ht="15.75" x14ac:dyDescent="0.25">
      <c r="B22"/>
      <c r="C22"/>
      <c r="D22" s="4"/>
      <c r="E22" s="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5" customFormat="1" ht="15.75" x14ac:dyDescent="0.25">
      <c r="B23"/>
      <c r="C23"/>
      <c r="D23" s="4"/>
      <c r="E23" s="4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5" customFormat="1" ht="15.75" x14ac:dyDescent="0.25">
      <c r="B24"/>
      <c r="C24"/>
      <c r="D24" s="4"/>
      <c r="E24" s="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5" customFormat="1" ht="15.75" x14ac:dyDescent="0.25">
      <c r="B25"/>
      <c r="C25"/>
      <c r="D25" s="4"/>
      <c r="E25" s="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.75" x14ac:dyDescent="0.25">
      <c r="A26" s="5"/>
    </row>
    <row r="27" spans="1:20" ht="15.75" x14ac:dyDescent="0.25">
      <c r="A27" s="34"/>
    </row>
    <row r="28" spans="1:20" ht="18.95" customHeight="1" x14ac:dyDescent="0.25">
      <c r="A28" s="3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36"/>
    </row>
    <row r="29" spans="1:20" ht="15.75" x14ac:dyDescent="0.25">
      <c r="A29" s="3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36"/>
    </row>
    <row r="30" spans="1:20" ht="15.75" x14ac:dyDescent="0.25">
      <c r="A30" s="3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36"/>
    </row>
    <row r="31" spans="1:20" ht="15.75" x14ac:dyDescent="0.25">
      <c r="A31" s="37"/>
    </row>
    <row r="32" spans="1:20" ht="15.75" x14ac:dyDescent="0.25">
      <c r="A32" s="3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39"/>
    </row>
    <row r="33" spans="1:20" ht="15.75" x14ac:dyDescent="0.25">
      <c r="A33" s="3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20" x14ac:dyDescent="0.25">
      <c r="B34" s="15"/>
      <c r="C34" s="15"/>
      <c r="D34" s="15"/>
      <c r="E34" s="15"/>
      <c r="F34" s="40"/>
      <c r="G34" s="40"/>
      <c r="H34" s="15"/>
      <c r="I34" s="40"/>
      <c r="J34" s="40"/>
      <c r="K34" s="15"/>
      <c r="L34" s="15"/>
      <c r="M34" s="15"/>
      <c r="N34" s="15"/>
      <c r="O34" s="15"/>
      <c r="P34" s="15"/>
      <c r="Q34" s="40"/>
      <c r="R34" s="40"/>
      <c r="S34" s="15"/>
      <c r="T34" s="15"/>
    </row>
    <row r="35" spans="1:20" ht="15.75" x14ac:dyDescent="0.25">
      <c r="A35" s="5"/>
    </row>
    <row r="36" spans="1:20" ht="15.75" x14ac:dyDescent="0.25">
      <c r="A36" s="5"/>
      <c r="F36" t="s">
        <v>29</v>
      </c>
    </row>
    <row r="39" spans="1:20" x14ac:dyDescent="0.25">
      <c r="O39" s="4"/>
    </row>
    <row r="40" spans="1:20" ht="15.75" x14ac:dyDescent="0.25">
      <c r="A40" s="5"/>
      <c r="O40" s="4"/>
    </row>
    <row r="41" spans="1:20" x14ac:dyDescent="0.25">
      <c r="O41" s="4"/>
    </row>
    <row r="42" spans="1:20" x14ac:dyDescent="0.25">
      <c r="B42" s="17"/>
      <c r="C42" s="17"/>
      <c r="O42" s="4"/>
    </row>
    <row r="43" spans="1:20" x14ac:dyDescent="0.25">
      <c r="O43" s="4"/>
    </row>
    <row r="44" spans="1:20" x14ac:dyDescent="0.25">
      <c r="O44" s="4"/>
    </row>
    <row r="45" spans="1:20" x14ac:dyDescent="0.25">
      <c r="O45" s="4"/>
    </row>
    <row r="46" spans="1:20" x14ac:dyDescent="0.25">
      <c r="O46" s="4"/>
    </row>
    <row r="47" spans="1:20" ht="15.75" x14ac:dyDescent="0.25">
      <c r="A47" s="48" t="s">
        <v>35</v>
      </c>
      <c r="O47" s="4"/>
    </row>
    <row r="48" spans="1:20" ht="57.75" customHeight="1" x14ac:dyDescent="0.25">
      <c r="A48" s="9" t="s">
        <v>0</v>
      </c>
      <c r="B48" s="9" t="s">
        <v>1</v>
      </c>
      <c r="C48" s="9" t="s">
        <v>1</v>
      </c>
      <c r="D48" s="11" t="s">
        <v>2</v>
      </c>
      <c r="E48" s="9" t="s">
        <v>3</v>
      </c>
      <c r="F48" s="9" t="s">
        <v>30</v>
      </c>
      <c r="G48" s="9" t="s">
        <v>34</v>
      </c>
      <c r="H48" s="11" t="s">
        <v>4</v>
      </c>
      <c r="I48" s="9" t="s">
        <v>31</v>
      </c>
      <c r="J48" s="9" t="s">
        <v>33</v>
      </c>
      <c r="K48" s="11" t="s">
        <v>5</v>
      </c>
      <c r="L48" s="9" t="s">
        <v>11</v>
      </c>
      <c r="M48" s="9" t="s">
        <v>11</v>
      </c>
      <c r="N48" s="11" t="s">
        <v>6</v>
      </c>
      <c r="O48" s="9" t="s">
        <v>7</v>
      </c>
      <c r="P48" s="9" t="s">
        <v>32</v>
      </c>
      <c r="Q48" s="9" t="s">
        <v>8</v>
      </c>
      <c r="R48" s="9" t="s">
        <v>9</v>
      </c>
      <c r="S48" s="9" t="s">
        <v>10</v>
      </c>
      <c r="T48" s="36"/>
    </row>
    <row r="49" spans="1:20" ht="15.75" x14ac:dyDescent="0.25">
      <c r="A49" s="26">
        <v>2015</v>
      </c>
      <c r="B49" s="27">
        <f>4387987.59+2715854.021+1536452.622</f>
        <v>8640294.2329999991</v>
      </c>
      <c r="C49" s="42">
        <f>C6/T6</f>
        <v>0.79383084402334003</v>
      </c>
      <c r="D49" s="42" t="e">
        <f t="shared" ref="D49:N49" si="4">D6/U6</f>
        <v>#DIV/0!</v>
      </c>
      <c r="E49" s="42">
        <f>E6/T6</f>
        <v>5.2994474841549247E-2</v>
      </c>
      <c r="F49" s="42" t="e">
        <f t="shared" si="4"/>
        <v>#DIV/0!</v>
      </c>
      <c r="G49" s="42">
        <f>G6/T6</f>
        <v>3.2774570118584007E-2</v>
      </c>
      <c r="H49" s="42" t="e">
        <f t="shared" si="4"/>
        <v>#DIV/0!</v>
      </c>
      <c r="I49" s="42" t="e">
        <f t="shared" si="4"/>
        <v>#DIV/0!</v>
      </c>
      <c r="J49" s="42">
        <f>J6/T6</f>
        <v>9.3387670292191291E-2</v>
      </c>
      <c r="K49" s="42" t="e">
        <f t="shared" si="4"/>
        <v>#DIV/0!</v>
      </c>
      <c r="L49" s="42">
        <f>L6/T6</f>
        <v>1.8738076421653713E-3</v>
      </c>
      <c r="M49" s="42">
        <f>M6/T6</f>
        <v>2.0593373037030497E-3</v>
      </c>
      <c r="N49" s="42" t="e">
        <f t="shared" si="4"/>
        <v>#DIV/0!</v>
      </c>
      <c r="O49" s="42">
        <f>O6/T6</f>
        <v>3.451218274969171E-3</v>
      </c>
      <c r="P49" s="42">
        <f>P6/T6</f>
        <v>6.2090022252104899E-3</v>
      </c>
      <c r="Q49" s="42">
        <f>Q6/T6</f>
        <v>2.045108087201391E-3</v>
      </c>
      <c r="R49" s="42">
        <f>R6/T6</f>
        <v>4.3044151181845722E-3</v>
      </c>
      <c r="S49" s="42">
        <f>S6/T6</f>
        <v>8.9433580077853923E-3</v>
      </c>
      <c r="T49" s="41"/>
    </row>
    <row r="50" spans="1:20" ht="15.75" x14ac:dyDescent="0.25">
      <c r="A50" s="10">
        <v>2016</v>
      </c>
      <c r="B50" s="27">
        <f>5279823.4+3117883.48+1259914.416</f>
        <v>9657621.2960000001</v>
      </c>
      <c r="C50" s="42">
        <f t="shared" ref="C50:C52" si="5">C7/T7</f>
        <v>0.82095808980063334</v>
      </c>
      <c r="D50" s="27" t="e">
        <f t="shared" ref="D50:N50" si="6">D7/U7</f>
        <v>#DIV/0!</v>
      </c>
      <c r="E50" s="42">
        <f t="shared" ref="E50:E54" si="7">E7/T7</f>
        <v>5.4196605247522719E-2</v>
      </c>
      <c r="F50" s="27" t="e">
        <f t="shared" si="6"/>
        <v>#DIV/0!</v>
      </c>
      <c r="G50" s="42">
        <f t="shared" ref="G50:G54" si="8">G7/T7</f>
        <v>3.6830264368316219E-2</v>
      </c>
      <c r="H50" s="27" t="e">
        <f t="shared" si="6"/>
        <v>#DIV/0!</v>
      </c>
      <c r="I50" s="27" t="e">
        <f t="shared" si="6"/>
        <v>#DIV/0!</v>
      </c>
      <c r="J50" s="42">
        <f t="shared" ref="J50:J54" si="9">J7/T7</f>
        <v>5.093174265443301E-2</v>
      </c>
      <c r="K50" s="27" t="e">
        <f t="shared" si="6"/>
        <v>#DIV/0!</v>
      </c>
      <c r="L50" s="42">
        <f t="shared" ref="L50:L55" si="10">L7/T7</f>
        <v>1.7097813986190718E-3</v>
      </c>
      <c r="M50" s="42">
        <f t="shared" ref="M50:M54" si="11">M7/T7</f>
        <v>1.8348575059317655E-3</v>
      </c>
      <c r="N50" s="27" t="e">
        <f t="shared" si="6"/>
        <v>#DIV/0!</v>
      </c>
      <c r="O50" s="42">
        <f t="shared" ref="O50:O54" si="12">O7/T7</f>
        <v>4.3153627248272734E-3</v>
      </c>
      <c r="P50" s="42">
        <f t="shared" ref="P50:P54" si="13">P7/T7</f>
        <v>1.2343814767077778E-2</v>
      </c>
      <c r="Q50" s="42">
        <f t="shared" ref="Q50:Q54" si="14">Q7/T7</f>
        <v>9.0046159542483636E-4</v>
      </c>
      <c r="R50" s="42">
        <f t="shared" ref="R50:R54" si="15">R7/T7</f>
        <v>1.1300237314928132E-2</v>
      </c>
      <c r="S50" s="42">
        <f t="shared" ref="S50:S54" si="16">S7/T7</f>
        <v>6.3885639443497294E-3</v>
      </c>
      <c r="T50" s="41"/>
    </row>
    <row r="51" spans="1:20" ht="15.75" x14ac:dyDescent="0.25">
      <c r="A51" s="30">
        <v>2017</v>
      </c>
      <c r="B51" s="27">
        <f>4348839.61+3229203.367+1527278.264</f>
        <v>9105321.2410000004</v>
      </c>
      <c r="C51" s="42">
        <f t="shared" si="5"/>
        <v>0.8181716665056824</v>
      </c>
      <c r="D51" s="27" t="e">
        <f t="shared" ref="D51:N51" si="17">D8/U8</f>
        <v>#DIV/0!</v>
      </c>
      <c r="E51" s="42">
        <f t="shared" si="7"/>
        <v>7.0953278465539366E-2</v>
      </c>
      <c r="F51" s="27" t="e">
        <f t="shared" si="17"/>
        <v>#DIV/0!</v>
      </c>
      <c r="G51" s="42">
        <f t="shared" si="8"/>
        <v>3.322734265620083E-2</v>
      </c>
      <c r="H51" s="27" t="e">
        <f t="shared" si="17"/>
        <v>#DIV/0!</v>
      </c>
      <c r="I51" s="27" t="e">
        <f t="shared" si="17"/>
        <v>#DIV/0!</v>
      </c>
      <c r="J51" s="42">
        <f t="shared" si="9"/>
        <v>4.4981315760590938E-2</v>
      </c>
      <c r="K51" s="27" t="e">
        <f t="shared" si="17"/>
        <v>#DIV/0!</v>
      </c>
      <c r="L51" s="42">
        <f t="shared" si="10"/>
        <v>3.4652273150036438E-3</v>
      </c>
      <c r="M51" s="42">
        <f t="shared" si="11"/>
        <v>3.6870983227568909E-3</v>
      </c>
      <c r="N51" s="27" t="e">
        <f t="shared" si="17"/>
        <v>#DIV/0!</v>
      </c>
      <c r="O51" s="42">
        <f t="shared" si="12"/>
        <v>6.9170994006465432E-3</v>
      </c>
      <c r="P51" s="42">
        <f t="shared" si="13"/>
        <v>3.281120861124772E-3</v>
      </c>
      <c r="Q51" s="42">
        <f t="shared" si="14"/>
        <v>8.0994256776386762E-4</v>
      </c>
      <c r="R51" s="42">
        <f t="shared" si="15"/>
        <v>1.596581437450241E-2</v>
      </c>
      <c r="S51" s="42">
        <f t="shared" si="16"/>
        <v>2.0053421835969551E-3</v>
      </c>
      <c r="T51" s="41"/>
    </row>
    <row r="52" spans="1:20" ht="15.75" x14ac:dyDescent="0.25">
      <c r="A52" s="10">
        <v>2018</v>
      </c>
      <c r="B52" s="29">
        <f>250451.5+338102.31+2998721.807+1735334.0083</f>
        <v>5322609.6253000004</v>
      </c>
      <c r="C52" s="42">
        <f t="shared" si="5"/>
        <v>0.76286712179157035</v>
      </c>
      <c r="D52" s="27" t="e">
        <f t="shared" ref="D52:N52" si="18">D9/U9</f>
        <v>#DIV/0!</v>
      </c>
      <c r="E52" s="42">
        <f t="shared" si="7"/>
        <v>4.8036032322986075E-2</v>
      </c>
      <c r="F52" s="27" t="e">
        <f t="shared" si="18"/>
        <v>#DIV/0!</v>
      </c>
      <c r="G52" s="42">
        <f t="shared" si="8"/>
        <v>6.5768223270739293E-2</v>
      </c>
      <c r="H52" s="27" t="e">
        <f t="shared" si="18"/>
        <v>#DIV/0!</v>
      </c>
      <c r="I52" s="27" t="e">
        <f t="shared" si="18"/>
        <v>#DIV/0!</v>
      </c>
      <c r="J52" s="42">
        <f t="shared" si="9"/>
        <v>3.7812172670388763E-2</v>
      </c>
      <c r="K52" s="27" t="e">
        <f t="shared" si="18"/>
        <v>#DIV/0!</v>
      </c>
      <c r="L52" s="42">
        <f t="shared" si="10"/>
        <v>7.9713737188530868E-3</v>
      </c>
      <c r="M52" s="42">
        <f t="shared" si="11"/>
        <v>1.0836134261076699E-2</v>
      </c>
      <c r="N52" s="27" t="e">
        <f t="shared" si="18"/>
        <v>#DIV/0!</v>
      </c>
      <c r="O52" s="42">
        <f t="shared" si="12"/>
        <v>1.8740608475094043E-2</v>
      </c>
      <c r="P52" s="42">
        <f t="shared" si="13"/>
        <v>1.188789677220933E-2</v>
      </c>
      <c r="Q52" s="42">
        <f t="shared" si="14"/>
        <v>2.6523792619950423E-3</v>
      </c>
      <c r="R52" s="42">
        <f t="shared" si="15"/>
        <v>2.4013552773890112E-2</v>
      </c>
      <c r="S52" s="42">
        <f t="shared" si="16"/>
        <v>6.5406985289306928E-3</v>
      </c>
      <c r="T52" s="39"/>
    </row>
    <row r="53" spans="1:20" ht="15.75" x14ac:dyDescent="0.25">
      <c r="A53" s="30">
        <v>2019</v>
      </c>
      <c r="B53" s="25">
        <v>8064229.2630000003</v>
      </c>
      <c r="C53" s="42">
        <f>C10/T10</f>
        <v>0.80315314284734896</v>
      </c>
      <c r="D53" s="27" t="e">
        <f t="shared" ref="D53:N53" si="19">D10/U10</f>
        <v>#DIV/0!</v>
      </c>
      <c r="E53" s="42">
        <f t="shared" si="7"/>
        <v>4.5368951162012505E-2</v>
      </c>
      <c r="F53" s="27" t="e">
        <f t="shared" si="19"/>
        <v>#DIV/0!</v>
      </c>
      <c r="G53" s="42">
        <f t="shared" si="8"/>
        <v>5.3802774507547654E-2</v>
      </c>
      <c r="H53" s="27" t="e">
        <f t="shared" si="19"/>
        <v>#DIV/0!</v>
      </c>
      <c r="I53" s="27" t="e">
        <f t="shared" si="19"/>
        <v>#DIV/0!</v>
      </c>
      <c r="J53" s="42">
        <f t="shared" si="9"/>
        <v>4.2470220590266505E-2</v>
      </c>
      <c r="K53" s="27" t="e">
        <f t="shared" si="19"/>
        <v>#DIV/0!</v>
      </c>
      <c r="L53" s="42">
        <f t="shared" si="10"/>
        <v>5.2931532236862103E-3</v>
      </c>
      <c r="M53" s="42">
        <f t="shared" si="11"/>
        <v>7.4594436584916116E-3</v>
      </c>
      <c r="N53" s="27" t="e">
        <f t="shared" si="19"/>
        <v>#DIV/0!</v>
      </c>
      <c r="O53" s="42">
        <f t="shared" si="12"/>
        <v>1.4015090459412431E-2</v>
      </c>
      <c r="P53" s="42">
        <f t="shared" si="13"/>
        <v>1.1021509846749142E-2</v>
      </c>
      <c r="Q53" s="42">
        <f t="shared" si="14"/>
        <v>2.2102624377280077E-3</v>
      </c>
      <c r="R53" s="42">
        <f t="shared" si="15"/>
        <v>1.4588826469702817E-2</v>
      </c>
      <c r="S53" s="42">
        <f t="shared" si="16"/>
        <v>5.9097780207404606E-3</v>
      </c>
      <c r="T53" s="39"/>
    </row>
    <row r="54" spans="1:20" ht="15.75" x14ac:dyDescent="0.25">
      <c r="A54" s="10">
        <v>2020</v>
      </c>
      <c r="B54" s="50"/>
      <c r="C54" s="42">
        <f>C11/T11</f>
        <v>0.78853022474437728</v>
      </c>
      <c r="D54" s="51"/>
      <c r="E54" s="42">
        <f t="shared" si="7"/>
        <v>6.4040490050409432E-2</v>
      </c>
      <c r="F54" s="50"/>
      <c r="G54" s="42">
        <f t="shared" si="8"/>
        <v>4.5580651525510912E-2</v>
      </c>
      <c r="H54" s="50"/>
      <c r="I54" s="50"/>
      <c r="J54" s="42">
        <f t="shared" si="9"/>
        <v>5.5070854533825861E-2</v>
      </c>
      <c r="K54" s="50"/>
      <c r="L54" s="42">
        <f t="shared" si="10"/>
        <v>5.2071656492689387E-3</v>
      </c>
      <c r="M54" s="42">
        <f t="shared" si="11"/>
        <v>6.0031987149449257E-3</v>
      </c>
      <c r="N54" s="50"/>
      <c r="O54" s="42">
        <f t="shared" si="12"/>
        <v>8.7400433972383649E-3</v>
      </c>
      <c r="P54" s="42">
        <f t="shared" si="13"/>
        <v>1.273714032891037E-2</v>
      </c>
      <c r="Q54" s="42">
        <f t="shared" si="14"/>
        <v>2.3294081673682142E-3</v>
      </c>
      <c r="R54" s="42">
        <f t="shared" si="15"/>
        <v>1.1940276271661101E-2</v>
      </c>
      <c r="S54" s="42">
        <f t="shared" si="16"/>
        <v>5.0277120657714639E-3</v>
      </c>
    </row>
    <row r="55" spans="1:20" ht="15.75" x14ac:dyDescent="0.25">
      <c r="A55" s="10">
        <v>2021</v>
      </c>
      <c r="B55" s="50"/>
      <c r="C55" s="42">
        <f>C12/T12</f>
        <v>0.79074806415646315</v>
      </c>
      <c r="D55" s="51"/>
      <c r="E55" s="42">
        <f t="shared" ref="E55" si="20">E12/T12</f>
        <v>5.3519443464162604E-2</v>
      </c>
      <c r="F55" s="50"/>
      <c r="G55" s="42">
        <f t="shared" ref="G55" si="21">G12/T12</f>
        <v>6.2508860895449103E-2</v>
      </c>
      <c r="H55" s="50"/>
      <c r="I55" s="50"/>
      <c r="J55" s="42">
        <f t="shared" ref="J55" si="22">J12/T12</f>
        <v>4.7134323119648942E-2</v>
      </c>
      <c r="K55" s="50"/>
      <c r="L55" s="42">
        <f t="shared" si="10"/>
        <v>4.235824485224169E-3</v>
      </c>
      <c r="M55" s="42">
        <f t="shared" ref="M55" si="23">M12/T12</f>
        <v>4.6105367938134838E-3</v>
      </c>
      <c r="N55" s="50"/>
      <c r="O55" s="42">
        <f t="shared" ref="O55" si="24">O12/T12</f>
        <v>9.3003517506981305E-3</v>
      </c>
      <c r="P55" s="42">
        <f t="shared" ref="P55" si="25">P12/T12</f>
        <v>1.71813012090711E-2</v>
      </c>
      <c r="Q55" s="42">
        <f t="shared" ref="Q55" si="26">Q12/T12</f>
        <v>4.8799009830095847E-3</v>
      </c>
      <c r="R55" s="42">
        <f t="shared" ref="R55" si="27">R12/T12</f>
        <v>6.2518220456010062E-3</v>
      </c>
      <c r="S55" s="42">
        <f t="shared" ref="S55" si="28">S12/T12</f>
        <v>3.8654249905381495E-3</v>
      </c>
    </row>
    <row r="56" spans="1:20" x14ac:dyDescent="0.25">
      <c r="O56" s="4"/>
      <c r="P56" s="4"/>
    </row>
    <row r="57" spans="1:20" x14ac:dyDescent="0.25">
      <c r="O57" s="4"/>
      <c r="P57" s="4"/>
    </row>
    <row r="58" spans="1:20" x14ac:dyDescent="0.25">
      <c r="O58" s="4"/>
      <c r="P58" s="4"/>
    </row>
    <row r="59" spans="1:20" x14ac:dyDescent="0.25">
      <c r="O59" s="4"/>
      <c r="P59" s="4"/>
    </row>
    <row r="60" spans="1:20" x14ac:dyDescent="0.25">
      <c r="O60" s="4"/>
      <c r="P60" s="4"/>
    </row>
    <row r="61" spans="1:20" x14ac:dyDescent="0.25">
      <c r="O61" s="4"/>
      <c r="P61" s="4"/>
    </row>
    <row r="62" spans="1:20" x14ac:dyDescent="0.25">
      <c r="O62" s="4"/>
      <c r="P62" s="4"/>
    </row>
    <row r="63" spans="1:20" x14ac:dyDescent="0.25">
      <c r="O63" s="4"/>
      <c r="P63" s="4"/>
    </row>
    <row r="64" spans="1:20" x14ac:dyDescent="0.25">
      <c r="O64" s="4"/>
      <c r="P64" s="4"/>
    </row>
    <row r="65" spans="15:16" x14ac:dyDescent="0.25">
      <c r="O65" s="4"/>
      <c r="P65" s="4"/>
    </row>
    <row r="66" spans="15:16" x14ac:dyDescent="0.25">
      <c r="O66" s="4"/>
      <c r="P66" s="4"/>
    </row>
    <row r="67" spans="15:16" x14ac:dyDescent="0.25">
      <c r="O67" s="4"/>
      <c r="P67" s="4"/>
    </row>
    <row r="68" spans="15:16" x14ac:dyDescent="0.25">
      <c r="O68" s="4"/>
      <c r="P68" s="4"/>
    </row>
    <row r="69" spans="15:16" x14ac:dyDescent="0.25">
      <c r="O69" s="4"/>
      <c r="P69" s="4"/>
    </row>
    <row r="70" spans="15:16" x14ac:dyDescent="0.25">
      <c r="O70" s="4"/>
      <c r="P70" s="4"/>
    </row>
    <row r="71" spans="15:16" x14ac:dyDescent="0.25">
      <c r="O71" s="4"/>
      <c r="P71" s="4"/>
    </row>
  </sheetData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пуш,собр,рец и прераб.</vt:lpstr>
      <vt:lpstr>vid i kategorija </vt:lpstr>
      <vt:lpstr>Вк.количини</vt:lpstr>
      <vt:lpstr>oprema pushtena na pazar</vt:lpstr>
      <vt:lpstr>Вид и категорија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Dimishkova</dc:creator>
  <cp:lastModifiedBy>Arminda Rushiti</cp:lastModifiedBy>
  <dcterms:created xsi:type="dcterms:W3CDTF">2020-08-04T08:41:19Z</dcterms:created>
  <dcterms:modified xsi:type="dcterms:W3CDTF">2024-10-28T14:13:54Z</dcterms:modified>
</cp:coreProperties>
</file>